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G:\CMM\New RC\LT XLPE-NTPC\for MOP\"/>
    </mc:Choice>
  </mc:AlternateContent>
  <xr:revisionPtr revIDLastSave="0" documentId="13_ncr:1_{D7408205-1104-42A4-ABCD-451C46A8FD8B}" xr6:coauthVersionLast="36" xr6:coauthVersionMax="36" xr10:uidLastSave="{00000000-0000-0000-0000-000000000000}"/>
  <bookViews>
    <workbookView xWindow="0" yWindow="0" windowWidth="24000" windowHeight="7905" xr2:uid="{1CDE3F51-627C-4BFE-8578-C4228CD27594}"/>
  </bookViews>
  <sheets>
    <sheet name="Price Format" sheetId="2" r:id="rId1"/>
    <sheet name="COW" sheetId="4" r:id="rId2"/>
  </sheets>
  <definedNames>
    <definedName name="_xlnm.Print_Area" localSheetId="0">'Price Format'!$A$1:$M$57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3" i="2" l="1"/>
  <c r="A54" i="2"/>
  <c r="A55" i="2"/>
  <c r="A56" i="2" s="1"/>
  <c r="A57" i="2" s="1"/>
  <c r="A52" i="2"/>
  <c r="I48" i="2" l="1"/>
  <c r="K44" i="2"/>
  <c r="I44" i="2"/>
  <c r="H47" i="2" l="1"/>
  <c r="H46" i="2"/>
  <c r="H45" i="2"/>
  <c r="H44"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G47" i="2"/>
  <c r="G46" i="2"/>
  <c r="G45" i="2"/>
  <c r="G44"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J15" i="2" l="1"/>
  <c r="L15" i="2" s="1"/>
  <c r="J16" i="2"/>
  <c r="L16" i="2" s="1"/>
  <c r="J33" i="2"/>
  <c r="L33" i="2" s="1"/>
  <c r="J18" i="2"/>
  <c r="L18" i="2" s="1"/>
  <c r="J22" i="2"/>
  <c r="L22" i="2" s="1"/>
  <c r="J41" i="2"/>
  <c r="L41" i="2" s="1"/>
  <c r="J11" i="2"/>
  <c r="L11" i="2" s="1"/>
  <c r="J27" i="2"/>
  <c r="L27" i="2" s="1"/>
  <c r="J44" i="2"/>
  <c r="L44" i="2" s="1"/>
  <c r="J32" i="2"/>
  <c r="L32" i="2" s="1"/>
  <c r="J34" i="2"/>
  <c r="L34" i="2" s="1"/>
  <c r="J35" i="2"/>
  <c r="L35" i="2" s="1"/>
  <c r="J36" i="2"/>
  <c r="L36" i="2" s="1"/>
  <c r="J23" i="2"/>
  <c r="L23" i="2" s="1"/>
  <c r="J8" i="2"/>
  <c r="J42" i="2"/>
  <c r="L42" i="2" s="1"/>
  <c r="J12" i="2"/>
  <c r="L12" i="2" s="1"/>
  <c r="J28" i="2"/>
  <c r="L28" i="2" s="1"/>
  <c r="J45" i="2"/>
  <c r="L45" i="2" s="1"/>
  <c r="J20" i="2"/>
  <c r="L20" i="2" s="1"/>
  <c r="J21" i="2"/>
  <c r="L21" i="2" s="1"/>
  <c r="J38" i="2"/>
  <c r="L38" i="2" s="1"/>
  <c r="J40" i="2"/>
  <c r="L40" i="2" s="1"/>
  <c r="J9" i="2"/>
  <c r="L9" i="2" s="1"/>
  <c r="J26" i="2"/>
  <c r="L26" i="2" s="1"/>
  <c r="J13" i="2"/>
  <c r="L13" i="2" s="1"/>
  <c r="J29" i="2"/>
  <c r="L29" i="2" s="1"/>
  <c r="J46" i="2"/>
  <c r="L46" i="2" s="1"/>
  <c r="J31" i="2"/>
  <c r="L31" i="2" s="1"/>
  <c r="J17" i="2"/>
  <c r="L17" i="2" s="1"/>
  <c r="J19" i="2"/>
  <c r="L19" i="2" s="1"/>
  <c r="J37" i="2"/>
  <c r="L37" i="2" s="1"/>
  <c r="J39" i="2"/>
  <c r="L39" i="2" s="1"/>
  <c r="J24" i="2"/>
  <c r="L24" i="2" s="1"/>
  <c r="J25" i="2"/>
  <c r="L25" i="2" s="1"/>
  <c r="J10" i="2"/>
  <c r="L10" i="2" s="1"/>
  <c r="J14" i="2"/>
  <c r="L14" i="2" s="1"/>
  <c r="J30" i="2"/>
  <c r="L30" i="2" s="1"/>
  <c r="J47" i="2"/>
  <c r="L47" i="2" s="1"/>
  <c r="J48" i="2" l="1"/>
  <c r="M18" i="2"/>
  <c r="M11" i="2"/>
  <c r="M15" i="2"/>
  <c r="M32" i="2"/>
  <c r="M36" i="2"/>
  <c r="M17" i="2"/>
  <c r="M28" i="2"/>
  <c r="M24" i="2"/>
  <c r="M34" i="2"/>
  <c r="M41" i="2"/>
  <c r="M42" i="2"/>
  <c r="L8" i="2"/>
  <c r="M45" i="2"/>
  <c r="M10" i="2"/>
  <c r="M30" i="2"/>
  <c r="M35" i="2"/>
  <c r="M38" i="2"/>
  <c r="M27" i="2"/>
  <c r="M31" i="2"/>
  <c r="M29" i="2"/>
  <c r="M23" i="2"/>
  <c r="M37" i="2"/>
  <c r="M13" i="2"/>
  <c r="M14" i="2"/>
  <c r="M44" i="2"/>
  <c r="M46" i="2"/>
  <c r="M47" i="2"/>
  <c r="M21" i="2"/>
  <c r="M16" i="2"/>
  <c r="M12" i="2"/>
  <c r="M22" i="2"/>
  <c r="M19" i="2"/>
  <c r="M26" i="2"/>
  <c r="M39" i="2"/>
  <c r="M33" i="2"/>
  <c r="M25" i="2"/>
  <c r="M40" i="2"/>
  <c r="M9" i="2"/>
  <c r="M20" i="2"/>
  <c r="M8" i="2" l="1"/>
  <c r="M48" i="2" s="1"/>
  <c r="L48" i="2"/>
</calcChain>
</file>

<file path=xl/sharedStrings.xml><?xml version="1.0" encoding="utf-8"?>
<sst xmlns="http://schemas.openxmlformats.org/spreadsheetml/2006/main" count="166" uniqueCount="128">
  <si>
    <t>Sr. No.</t>
  </si>
  <si>
    <t>Item code</t>
  </si>
  <si>
    <t>Item description</t>
  </si>
  <si>
    <t>Unit</t>
  </si>
  <si>
    <t xml:space="preserve">Order Quantity (metres) </t>
  </si>
  <si>
    <t xml:space="preserve">Drum Length (Meters) 
</t>
  </si>
  <si>
    <t>UNIT PRICE  (EX-WORKS) (Rs)</t>
  </si>
  <si>
    <t>TOTAL PRICE   (EX-WORKS) (Rs)</t>
  </si>
  <si>
    <t>A</t>
  </si>
  <si>
    <t>1.1KV, Al conductor (Plain aluminium of grade H2), XLPE insulated. Armoured (Non-magnetic hard drawn aluminium round wire armour of H4 grade for single core cables and GS round/ Formed wire armour for Multi- core cables). INNER SHEATH: Extruded HRPVC compound conforming to type ST2 of IS: 5831 for multicore cable (Single core cables shall have no inner sheath). OVERALL SHEATH: extruded overall FRLSH HRPVC compound conforming to type ST2 of IS: 5831, black in colour.</t>
  </si>
  <si>
    <t>﻿ 507-0280063-00-A</t>
  </si>
  <si>
    <t>1C-35 Sq. mm XLPE-Al(A) FRLS</t>
  </si>
  <si>
    <t>MTR</t>
  </si>
  <si>
    <t xml:space="preserve"> 507-0280074-00-A</t>
  </si>
  <si>
    <t>1C-70 Sq. mm XLPE-Al(A) FRLS</t>
  </si>
  <si>
    <t xml:space="preserve"> 507-0280064-00-A</t>
  </si>
  <si>
    <t>1C-120 Sq. mm XLPE-Al(A) FRLS</t>
  </si>
  <si>
    <t xml:space="preserve"> 507-0280914-00-A</t>
  </si>
  <si>
    <t>1C-150 Sq. mm XLPE-Al(A) FRLS</t>
  </si>
  <si>
    <t xml:space="preserve"> 507-0280175-00-A</t>
  </si>
  <si>
    <t>1C-300 Sq. mm XLPE-Al(A) FRLS</t>
  </si>
  <si>
    <t>﻿ 507-0280005-00-A</t>
  </si>
  <si>
    <t>1C-400 Sq. mm XLPE-Al(A) FRLS</t>
  </si>
  <si>
    <t xml:space="preserve"> 507-0280007-00-A</t>
  </si>
  <si>
    <t xml:space="preserve">1C-630 Sq. mm XLPE-Al(A) FRLS </t>
  </si>
  <si>
    <t xml:space="preserve"> 507-0280011-00-A</t>
  </si>
  <si>
    <t>2C-10 Sq. mm XLPE-Al(A) FRLS</t>
  </si>
  <si>
    <t xml:space="preserve"> 507-0280017-00-A</t>
  </si>
  <si>
    <t>2C-25 Sq. mm XLPE-Al(A) FRLS</t>
  </si>
  <si>
    <t xml:space="preserve"> 507-0280021-00-A</t>
  </si>
  <si>
    <t>2C-50 Sq. mm XLPE-Al(A) FRLS</t>
  </si>
  <si>
    <t xml:space="preserve"> 507-0280027-00-A</t>
  </si>
  <si>
    <t>2C-95 Sq. mm XLPE-Al(A) FRLS</t>
  </si>
  <si>
    <t xml:space="preserve"> 507-0280039-00-A</t>
  </si>
  <si>
    <t>3C-10 Sq. mm XLPE-Al(A) FRLS</t>
  </si>
  <si>
    <t xml:space="preserve"> 507-0280125-00-A</t>
  </si>
  <si>
    <t>3C-16 Sq. mm XLPE-Al(A) FRLS</t>
  </si>
  <si>
    <t xml:space="preserve"> 507-0280047-00-A</t>
  </si>
  <si>
    <t>3C-25 Sq. mm XLPE-Al(A) FRLS</t>
  </si>
  <si>
    <t xml:space="preserve"> 507-0280136-00-A</t>
  </si>
  <si>
    <t>3C-35 Sq. mm XLPE-Al(A) FRLS</t>
  </si>
  <si>
    <t xml:space="preserve"> 507-0280049-00-A</t>
  </si>
  <si>
    <t>3C-50 Sq. mm XLPE-Al(A) FRLS</t>
  </si>
  <si>
    <t xml:space="preserve"> 507-0280160-00-A</t>
  </si>
  <si>
    <t>3C-70 Sq. mm XLPE-Al(A) FRLS</t>
  </si>
  <si>
    <t xml:space="preserve"> 507-0280051-00-A</t>
  </si>
  <si>
    <t>3C-95 Sq. mm XLPE-Al(A) FRLS</t>
  </si>
  <si>
    <t xml:space="preserve"> 507-0280222-00-A</t>
  </si>
  <si>
    <t>3C-120 Sq. mm XLPE-Al(A) FRLS</t>
  </si>
  <si>
    <t xml:space="preserve"> 507-0280041-00-A</t>
  </si>
  <si>
    <t>3C-150 Sq. mm XLPE-Al(A) FRLS</t>
  </si>
  <si>
    <t xml:space="preserve"> 507-0280138-00-A</t>
  </si>
  <si>
    <t>3C-185 Sq. mm XLPE-Al(A) FRLS</t>
  </si>
  <si>
    <t xml:space="preserve"> 507-0280045-00-A</t>
  </si>
  <si>
    <t>3C-240 Sq. mm XLPE-Al(A) FRLS</t>
  </si>
  <si>
    <t xml:space="preserve"> 507-0280161-00-A</t>
  </si>
  <si>
    <t>3C-300 Sq. mm XLPE-Al(A) FRLS</t>
  </si>
  <si>
    <t xml:space="preserve"> 507-0280031-00-A</t>
  </si>
  <si>
    <t>3.5C-25 Sq. mm XLPE-Al(A) FRLS</t>
  </si>
  <si>
    <t xml:space="preserve"> 507-0280224-00-A</t>
  </si>
  <si>
    <t>3.5C-35 Sq. mm XLPE-Al(A) FRLS</t>
  </si>
  <si>
    <t xml:space="preserve"> 507-0280035-00-A</t>
  </si>
  <si>
    <t>3.5C-50 Sq. mm XLPE-Al(A) FRLS</t>
  </si>
  <si>
    <t xml:space="preserve"> 507-0280225-00-A</t>
  </si>
  <si>
    <t>3.5C-70 Sq. mm XLPE-Al(A) FRLS</t>
  </si>
  <si>
    <t xml:space="preserve"> 507-0280037-00-A</t>
  </si>
  <si>
    <t>3.5C-95 Sq. mm XLPE-Al(A) FRLS</t>
  </si>
  <si>
    <t xml:space="preserve"> 507-0280915-00-A</t>
  </si>
  <si>
    <t>3.5C-120 Sq. mm XLPE-Al(A) FRLS</t>
  </si>
  <si>
    <t xml:space="preserve"> 507-0280226-00-A</t>
  </si>
  <si>
    <t>3.5C-150 Sq. mm XLPE-Al(A) FRLS</t>
  </si>
  <si>
    <t>507-0280029-00-A</t>
  </si>
  <si>
    <t>3.5C-185 Sq. mm XLPE-Al(A) FRLS</t>
  </si>
  <si>
    <t xml:space="preserve"> 507-0280085-00-A</t>
  </si>
  <si>
    <t>3.5C-240 Sq. mm XLPE-Al(A) FRLS</t>
  </si>
  <si>
    <t xml:space="preserve"> 507-0280033-00-A</t>
  </si>
  <si>
    <t>3.5C-300 Sq. mm XLPE-Al(A) FRLS</t>
  </si>
  <si>
    <t xml:space="preserve"> 507-0280053-00-A</t>
  </si>
  <si>
    <t>4C-10 Sq. mm XLPE-Al(A) FRLS</t>
  </si>
  <si>
    <t xml:space="preserve"> 507-0280916-00-A</t>
  </si>
  <si>
    <t>4C-16 Sq. mm XLPE-Al(A) FRLS</t>
  </si>
  <si>
    <t>B</t>
  </si>
  <si>
    <t>1.1KV, Cu conductor (Class-2 Plain annealed, Electrolytic Grade), XLPE insulated. Armoured (GS round/formed wire armour for Multi- core cables). INNER SHEATH: Extruded HRPVC compound conforming to type ST2 of IS: 5831 for multicore cable. OVERALL SHEATH: extruded overall FRLSH HRPVC compound conforming to type ST2 of IS: 5831, black in colour.</t>
  </si>
  <si>
    <t>507-0280015-00-A</t>
  </si>
  <si>
    <t>2C-2.5 Sq. mm XLPE-Cu(A) FRLS</t>
  </si>
  <si>
    <t xml:space="preserve"> 507-0280043-00-A</t>
  </si>
  <si>
    <t>3C-2.5 Sq. mm XLPE-Cu(A) FRLS</t>
  </si>
  <si>
    <t xml:space="preserve"> 507-0280055-00-A</t>
  </si>
  <si>
    <t>4C-2.5 Sq. mm XLPE-Cu(A) FRLS</t>
  </si>
  <si>
    <t xml:space="preserve"> 507-0280065-00-A</t>
  </si>
  <si>
    <t>2CX6 Sq. mm XLPE-Cu(A) FRLS</t>
  </si>
  <si>
    <t>Notes</t>
  </si>
  <si>
    <t>Bidder has to quote only Total Value 'X'. Based on this price, unit price shall be derived for all items as per formula indicated above.</t>
  </si>
  <si>
    <t>The standard drum length shall be 1000/750 meters as indicated above. Tolerance on individual drum length shall be ±5%.</t>
  </si>
  <si>
    <t>For each individual cable size, one short length of not less than 200m may be accepted only in the final drum length to complete the supply (except where the total ordered quantity is one single drum length of 1000m). The overall tolerance limits stipulated above shall continue to apply (in case short lengths are accepted).</t>
  </si>
  <si>
    <t>For type test requirement please refer clause no. 5.2 of Technical Data -Part-A of technical specication.</t>
  </si>
  <si>
    <t xml:space="preserve">PVC shall be applicable as per PVC formula &amp; factors mentioned in Annexure -B. </t>
  </si>
  <si>
    <t>GRAND TOTAL (Rs.)</t>
  </si>
  <si>
    <t xml:space="preserve">FREIGHT CHARGES (EXCLUDING GST) @ ____% OF TOTAL EX-WORKS </t>
  </si>
  <si>
    <t xml:space="preserve">FREIGHT CHARGES EXCLUDING GST (INR)  </t>
  </si>
  <si>
    <t>Applicable GST @___% (on "Total Ex-Works +Freight")</t>
  </si>
  <si>
    <t>GST
 (INR)</t>
  </si>
  <si>
    <t>TOTAL F.O.R. SITE PRICE (INR)</t>
  </si>
  <si>
    <t>X</t>
  </si>
  <si>
    <t>Overall tolerance on total dispatched quantity of each size shall be (-) 2% and (+) 0%  on Individual Purchase Order against Rate Contrac except where the total ordered quantity is one single drum length of 1000m, in which case it shall be -5% to 0%. Cables consumed for testing and inspection shall be to bidder’s account.</t>
  </si>
  <si>
    <t>PRICE SCHEDULE</t>
  </si>
  <si>
    <t>Bidder to quote freight charges in percentage of their quoted Total Ex-works Prices.  Bidder to give single % of freight charges considering delivery anywhere in India in the freight column.Bidders have to give same % of freight for each line item. Further, bidder to quote non-zero freight %.</t>
  </si>
  <si>
    <t xml:space="preserve">PACKAGE: LT XLPE POWER CABLE
PROJECT: FRAMEWORK AGREEMENT (RATE CONTRACT)
ENQUIRY NO.-77/24/6063/SUM dated 28.02.2025 
BIDDER NAME: </t>
  </si>
  <si>
    <t>COST OF WITHDRAWAL</t>
  </si>
  <si>
    <t>PROJECT:-</t>
  </si>
  <si>
    <t xml:space="preserve">Framework Agreement (Rate Contract) </t>
  </si>
  <si>
    <t xml:space="preserve">PACKAGE :- </t>
  </si>
  <si>
    <t xml:space="preserve">TENDER ENQUIRY :- </t>
  </si>
  <si>
    <t>NAME OF THE BIDDER</t>
  </si>
  <si>
    <t>Sl.
No.</t>
  </si>
  <si>
    <t>Volume/Section</t>
  </si>
  <si>
    <t xml:space="preserve">Page No. </t>
  </si>
  <si>
    <t xml:space="preserve">Clause No. </t>
  </si>
  <si>
    <t>Technical Specification/Tender Document  No</t>
  </si>
  <si>
    <t>Complete Description of Deviation</t>
  </si>
  <si>
    <t xml:space="preserve">Cost of withdrawal of deviation to be entered by the bidder in </t>
  </si>
  <si>
    <t xml:space="preserve">Reference of price Schedule of which Cost of Withdrawal of Deviation is applicable  </t>
  </si>
  <si>
    <t xml:space="preserve">Nature of cost of withdrawal of deviation (Positive/Negative) </t>
  </si>
  <si>
    <t xml:space="preserve">Reasons for quoting deviation </t>
  </si>
  <si>
    <t xml:space="preserve">TECHNICAL DEVIATION </t>
  </si>
  <si>
    <t xml:space="preserve">COMMERCIAL DEVIATION </t>
  </si>
  <si>
    <t>LT XLPE POWER CABLE</t>
  </si>
  <si>
    <t>77/24/6063/SUM dated 28.02.2025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</si>
</sst>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6" formatCode="0.0000"/>
    <numFmt numFmtId="167" formatCode="0.000"/>
  </numFmts>
  <fonts count="18" x14ac:knownFonts="1">
    <font>
      <sz val="11"/>
      <color theme="1"/>
      <name val="Calibri"/>
      <family val="2"/>
      <scheme val="minor"/>
    </font>
    <font>
      <sz val="11"/>
      <name val="Times New Roman"/>
      <family val="1"/>
    </font>
    <font>
      <sz val="12"/>
      <name val="Calibri Light"/>
      <family val="2"/>
      <scheme val="major"/>
    </font>
    <font>
      <sz val="11"/>
      <name val="Calibri Light"/>
      <family val="2"/>
      <scheme val="major"/>
    </font>
    <font>
      <sz val="14"/>
      <name val="Calibri Light"/>
      <family val="2"/>
      <scheme val="major"/>
    </font>
    <font>
      <sz val="11"/>
      <name val="Arial"/>
      <family val="2"/>
    </font>
    <font>
      <b/>
      <sz val="11"/>
      <name val="Arial"/>
      <family val="2"/>
    </font>
    <font>
      <sz val="11"/>
      <name val="Tahoma"/>
      <family val="2"/>
    </font>
    <font>
      <sz val="11"/>
      <name val="Calibri"/>
      <family val="2"/>
      <scheme val="minor"/>
    </font>
    <font>
      <sz val="10"/>
      <name val="Calibri"/>
      <family val="2"/>
      <scheme val="minor"/>
    </font>
    <font>
      <sz val="10"/>
      <name val="Arial"/>
      <family val="2"/>
    </font>
    <font>
      <b/>
      <sz val="11"/>
      <name val="Calibri"/>
      <family val="2"/>
      <scheme val="minor"/>
    </font>
    <font>
      <b/>
      <sz val="12"/>
      <name val="Tahoma"/>
      <family val="2"/>
    </font>
    <font>
      <b/>
      <sz val="12"/>
      <name val="Calibri Light"/>
      <family val="2"/>
      <scheme val="major"/>
    </font>
    <font>
      <b/>
      <sz val="14"/>
      <name val="Calibri Light"/>
      <family val="2"/>
      <scheme val="major"/>
    </font>
    <font>
      <b/>
      <sz val="11"/>
      <color theme="1"/>
      <name val="Calibri"/>
      <family val="2"/>
      <scheme val="minor"/>
    </font>
    <font>
      <b/>
      <sz val="12.5"/>
      <color theme="1"/>
      <name val="Calibri"/>
      <family val="2"/>
      <scheme val="minor"/>
    </font>
    <font>
      <b/>
      <sz val="10"/>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D0FAFE"/>
        <bgColor indexed="64"/>
      </patternFill>
    </fill>
    <fill>
      <patternFill patternType="solid">
        <fgColor indexed="27"/>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5">
    <xf numFmtId="0" fontId="0" fillId="0" borderId="0"/>
    <xf numFmtId="0" fontId="10" fillId="0" borderId="0">
      <alignment wrapText="1"/>
    </xf>
    <xf numFmtId="0" fontId="10" fillId="0" borderId="0"/>
    <xf numFmtId="0" fontId="10" fillId="0" borderId="0"/>
    <xf numFmtId="43" fontId="10" fillId="0" borderId="0" applyFont="0" applyFill="0" applyBorder="0" applyAlignment="0" applyProtection="0"/>
  </cellStyleXfs>
  <cellXfs count="100">
    <xf numFmtId="0" fontId="0" fillId="0" borderId="0" xfId="0"/>
    <xf numFmtId="0" fontId="1" fillId="2" borderId="0" xfId="0" applyFont="1" applyFill="1" applyAlignment="1">
      <alignment shrinkToFit="1"/>
    </xf>
    <xf numFmtId="0" fontId="5" fillId="2" borderId="1" xfId="0"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8" fillId="2" borderId="1" xfId="0" applyFont="1" applyFill="1" applyBorder="1" applyAlignment="1">
      <alignment vertical="center"/>
    </xf>
    <xf numFmtId="0" fontId="9" fillId="2" borderId="6" xfId="0" applyFont="1" applyFill="1" applyBorder="1" applyAlignment="1">
      <alignment horizontal="left" vertical="center"/>
    </xf>
    <xf numFmtId="0" fontId="7" fillId="2" borderId="6" xfId="1"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1" xfId="0" applyFont="1" applyFill="1" applyBorder="1"/>
    <xf numFmtId="0" fontId="9" fillId="2" borderId="1" xfId="0" applyFont="1" applyFill="1" applyBorder="1" applyAlignment="1">
      <alignment horizontal="left" vertical="center"/>
    </xf>
    <xf numFmtId="0" fontId="7" fillId="2" borderId="1" xfId="1" applyFont="1" applyFill="1" applyBorder="1" applyAlignment="1">
      <alignment horizontal="center" vertical="center" wrapText="1"/>
    </xf>
    <xf numFmtId="0" fontId="8"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xf>
    <xf numFmtId="164" fontId="7" fillId="2" borderId="6" xfId="0" applyNumberFormat="1" applyFont="1" applyFill="1" applyBorder="1" applyAlignment="1">
      <alignment horizontal="center" vertical="center" wrapText="1"/>
    </xf>
    <xf numFmtId="164" fontId="7" fillId="2" borderId="0" xfId="0" applyNumberFormat="1" applyFont="1" applyFill="1" applyBorder="1" applyAlignment="1">
      <alignment horizontal="center" vertical="center" wrapText="1"/>
    </xf>
    <xf numFmtId="0" fontId="7" fillId="2" borderId="0" xfId="0" applyFont="1" applyFill="1" applyBorder="1" applyAlignment="1">
      <alignment horizontal="left" vertical="center" wrapText="1"/>
    </xf>
    <xf numFmtId="0" fontId="7" fillId="2" borderId="0" xfId="1" applyFont="1" applyFill="1" applyBorder="1" applyAlignment="1">
      <alignment horizontal="center" vertical="center" wrapText="1"/>
    </xf>
    <xf numFmtId="0" fontId="1" fillId="2" borderId="0" xfId="0" applyFont="1" applyFill="1" applyBorder="1" applyAlignment="1">
      <alignment shrinkToFit="1"/>
    </xf>
    <xf numFmtId="3" fontId="7" fillId="2" borderId="0" xfId="0" applyNumberFormat="1" applyFont="1" applyFill="1" applyBorder="1" applyAlignment="1">
      <alignment horizontal="center" vertical="center"/>
    </xf>
    <xf numFmtId="0" fontId="7" fillId="2" borderId="0" xfId="0" applyFont="1" applyFill="1" applyBorder="1" applyAlignment="1">
      <alignment horizontal="center" vertical="center"/>
    </xf>
    <xf numFmtId="0" fontId="7" fillId="2" borderId="0" xfId="0" applyFont="1" applyFill="1" applyBorder="1" applyAlignment="1">
      <alignment horizontal="left" vertical="center"/>
    </xf>
    <xf numFmtId="0" fontId="3" fillId="2" borderId="0" xfId="0" applyFont="1" applyFill="1" applyAlignment="1">
      <alignment shrinkToFit="1"/>
    </xf>
    <xf numFmtId="0" fontId="2" fillId="2" borderId="0" xfId="0" applyFont="1" applyFill="1" applyBorder="1" applyAlignment="1">
      <alignment horizontal="center" vertical="center" shrinkToFit="1"/>
    </xf>
    <xf numFmtId="0" fontId="10" fillId="2" borderId="1" xfId="0" applyFont="1" applyFill="1" applyBorder="1" applyAlignment="1">
      <alignment horizontal="center" vertical="top" wrapText="1"/>
    </xf>
    <xf numFmtId="0" fontId="10" fillId="2" borderId="0" xfId="1" applyFont="1" applyFill="1" applyAlignment="1"/>
    <xf numFmtId="0" fontId="8" fillId="2" borderId="0" xfId="0" applyFont="1" applyFill="1"/>
    <xf numFmtId="0" fontId="3" fillId="2" borderId="0" xfId="0" applyFont="1" applyFill="1" applyBorder="1" applyAlignment="1">
      <alignment horizontal="center" vertical="center" shrinkToFit="1"/>
    </xf>
    <xf numFmtId="0" fontId="2" fillId="2" borderId="0" xfId="0" applyFont="1" applyFill="1" applyBorder="1" applyAlignment="1">
      <alignment shrinkToFit="1"/>
    </xf>
    <xf numFmtId="0" fontId="2" fillId="2" borderId="0" xfId="0" applyFont="1" applyFill="1" applyBorder="1" applyAlignment="1">
      <alignment horizontal="center" shrinkToFit="1"/>
    </xf>
    <xf numFmtId="0" fontId="2" fillId="2" borderId="0" xfId="0" applyFont="1" applyFill="1" applyBorder="1" applyAlignment="1">
      <alignment vertical="center" shrinkToFit="1"/>
    </xf>
    <xf numFmtId="0" fontId="1" fillId="2" borderId="0" xfId="0" applyFont="1" applyFill="1" applyAlignment="1">
      <alignment horizontal="center" shrinkToFit="1"/>
    </xf>
    <xf numFmtId="0" fontId="8" fillId="2" borderId="0" xfId="0" applyFont="1" applyFill="1" applyBorder="1"/>
    <xf numFmtId="0" fontId="9" fillId="2" borderId="0" xfId="0" applyFont="1" applyFill="1" applyBorder="1" applyAlignment="1">
      <alignment horizontal="left" vertical="center"/>
    </xf>
    <xf numFmtId="0" fontId="8" fillId="2" borderId="0" xfId="0" applyFont="1" applyFill="1" applyBorder="1" applyAlignment="1">
      <alignment horizontal="center" vertical="center"/>
    </xf>
    <xf numFmtId="0" fontId="12" fillId="3" borderId="1"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1" fillId="2" borderId="1" xfId="0" applyFont="1" applyFill="1" applyBorder="1" applyAlignment="1">
      <alignment shrinkToFit="1"/>
    </xf>
    <xf numFmtId="0" fontId="1" fillId="2" borderId="6" xfId="0" applyFont="1" applyFill="1" applyBorder="1" applyAlignment="1">
      <alignment shrinkToFit="1"/>
    </xf>
    <xf numFmtId="0" fontId="6" fillId="2" borderId="3" xfId="0" applyFont="1" applyFill="1" applyBorder="1" applyAlignment="1">
      <alignment horizontal="center" vertical="center" wrapText="1"/>
    </xf>
    <xf numFmtId="0" fontId="7" fillId="2" borderId="6" xfId="0" applyFont="1" applyFill="1" applyBorder="1" applyAlignment="1">
      <alignment horizontal="center" vertical="center"/>
    </xf>
    <xf numFmtId="0" fontId="6" fillId="2" borderId="1" xfId="0" applyFont="1" applyFill="1" applyBorder="1" applyAlignment="1">
      <alignment horizontal="center" vertical="center" wrapText="1"/>
    </xf>
    <xf numFmtId="166" fontId="7" fillId="2" borderId="6" xfId="0" applyNumberFormat="1" applyFont="1" applyFill="1" applyBorder="1" applyAlignment="1">
      <alignment horizontal="center" vertical="center"/>
    </xf>
    <xf numFmtId="166" fontId="7" fillId="2" borderId="1" xfId="0" applyNumberFormat="1" applyFont="1" applyFill="1" applyBorder="1" applyAlignment="1">
      <alignment horizontal="center" vertical="center"/>
    </xf>
    <xf numFmtId="0" fontId="2" fillId="2" borderId="0" xfId="0" applyFont="1" applyFill="1" applyBorder="1" applyAlignment="1">
      <alignment horizontal="left" vertical="center" shrinkToFit="1"/>
    </xf>
    <xf numFmtId="0" fontId="1" fillId="2" borderId="0" xfId="0" applyFont="1" applyFill="1" applyAlignment="1">
      <alignment horizontal="center" shrinkToFit="1"/>
    </xf>
    <xf numFmtId="0" fontId="1" fillId="2" borderId="2" xfId="0" applyFont="1" applyFill="1" applyBorder="1" applyAlignment="1">
      <alignment horizontal="center" shrinkToFit="1"/>
    </xf>
    <xf numFmtId="0" fontId="3" fillId="2" borderId="0" xfId="0" applyFont="1" applyFill="1" applyBorder="1" applyAlignment="1">
      <alignment horizontal="left" vertical="center" wrapText="1"/>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14" fillId="2" borderId="2"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7" fillId="3" borderId="8"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6" xfId="0" applyFont="1" applyFill="1" applyBorder="1" applyAlignment="1">
      <alignment horizontal="center" vertical="center"/>
    </xf>
    <xf numFmtId="0" fontId="1" fillId="3" borderId="8" xfId="0" applyFont="1" applyFill="1" applyBorder="1" applyAlignment="1" applyProtection="1">
      <alignment horizontal="center" shrinkToFit="1"/>
      <protection locked="0"/>
    </xf>
    <xf numFmtId="0" fontId="1" fillId="3" borderId="9" xfId="0" applyFont="1" applyFill="1" applyBorder="1" applyAlignment="1" applyProtection="1">
      <alignment horizontal="center" shrinkToFit="1"/>
      <protection locked="0"/>
    </xf>
    <xf numFmtId="0" fontId="1" fillId="3" borderId="6" xfId="0" applyFont="1" applyFill="1" applyBorder="1" applyAlignment="1" applyProtection="1">
      <alignment horizontal="center" shrinkToFit="1"/>
      <protection locked="0"/>
    </xf>
    <xf numFmtId="0" fontId="1" fillId="2" borderId="8" xfId="0" applyFont="1" applyFill="1" applyBorder="1" applyAlignment="1">
      <alignment horizontal="center" shrinkToFit="1"/>
    </xf>
    <xf numFmtId="0" fontId="1" fillId="2" borderId="9" xfId="0" applyFont="1" applyFill="1" applyBorder="1" applyAlignment="1">
      <alignment horizontal="center" shrinkToFit="1"/>
    </xf>
    <xf numFmtId="0" fontId="1" fillId="2" borderId="6" xfId="0" applyFont="1" applyFill="1" applyBorder="1" applyAlignment="1">
      <alignment horizontal="center" shrinkToFit="1"/>
    </xf>
    <xf numFmtId="0" fontId="10" fillId="2" borderId="10"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1" xfId="0" applyFont="1" applyFill="1" applyBorder="1" applyAlignment="1">
      <alignment vertical="top" wrapText="1"/>
    </xf>
    <xf numFmtId="0" fontId="10" fillId="2" borderId="5" xfId="0" applyFont="1" applyFill="1" applyBorder="1" applyAlignment="1">
      <alignment horizontal="left" vertical="top" wrapText="1"/>
    </xf>
    <xf numFmtId="0" fontId="13" fillId="2" borderId="0" xfId="0" applyFont="1" applyFill="1" applyBorder="1" applyAlignment="1" applyProtection="1">
      <alignment horizontal="center" vertical="center" wrapText="1" shrinkToFit="1"/>
      <protection locked="0"/>
    </xf>
    <xf numFmtId="0" fontId="2" fillId="2" borderId="0" xfId="0" applyFont="1" applyFill="1" applyBorder="1" applyAlignment="1" applyProtection="1">
      <alignment horizontal="center" vertical="center" wrapText="1" shrinkToFit="1"/>
      <protection locked="0"/>
    </xf>
    <xf numFmtId="0" fontId="16" fillId="0" borderId="1" xfId="2" applyFont="1" applyBorder="1" applyAlignment="1" applyProtection="1">
      <alignment horizontal="center" vertical="center"/>
    </xf>
    <xf numFmtId="0" fontId="15" fillId="0" borderId="1" xfId="2" applyFont="1" applyBorder="1" applyAlignment="1" applyProtection="1">
      <alignment horizontal="left" vertical="center"/>
    </xf>
    <xf numFmtId="0" fontId="15" fillId="4" borderId="1" xfId="2" applyFont="1" applyFill="1" applyBorder="1" applyAlignment="1" applyProtection="1">
      <alignment horizontal="left" vertical="center"/>
      <protection locked="0"/>
    </xf>
    <xf numFmtId="0" fontId="17" fillId="4" borderId="1" xfId="2" applyFont="1" applyFill="1" applyBorder="1" applyAlignment="1" applyProtection="1">
      <alignment horizontal="left" vertical="center"/>
      <protection locked="0"/>
    </xf>
    <xf numFmtId="0" fontId="10" fillId="4" borderId="1" xfId="2" applyFont="1" applyFill="1" applyBorder="1" applyAlignment="1" applyProtection="1">
      <alignment horizontal="left" vertical="center"/>
      <protection locked="0"/>
    </xf>
    <xf numFmtId="0" fontId="6" fillId="0" borderId="8" xfId="2" applyNumberFormat="1" applyFont="1" applyFill="1" applyBorder="1" applyAlignment="1" applyProtection="1">
      <alignment horizontal="center" vertical="center" wrapText="1"/>
    </xf>
    <xf numFmtId="0" fontId="6" fillId="0" borderId="7" xfId="2" applyNumberFormat="1" applyFont="1" applyFill="1" applyBorder="1" applyAlignment="1" applyProtection="1">
      <alignment horizontal="center" vertical="center" wrapText="1"/>
    </xf>
    <xf numFmtId="0" fontId="6" fillId="0" borderId="7" xfId="3" applyNumberFormat="1" applyFont="1" applyFill="1" applyBorder="1" applyAlignment="1" applyProtection="1">
      <alignment horizontal="center" vertical="center" wrapText="1"/>
    </xf>
    <xf numFmtId="0" fontId="5" fillId="0" borderId="1" xfId="2" applyNumberFormat="1" applyFont="1" applyFill="1" applyBorder="1" applyAlignment="1" applyProtection="1">
      <alignment horizontal="center" vertical="center" wrapText="1"/>
    </xf>
    <xf numFmtId="0" fontId="6" fillId="0" borderId="1" xfId="3" applyNumberFormat="1" applyFont="1" applyFill="1" applyBorder="1" applyAlignment="1" applyProtection="1">
      <alignment vertical="center"/>
    </xf>
    <xf numFmtId="166" fontId="6" fillId="0" borderId="1" xfId="2" applyNumberFormat="1" applyFont="1" applyFill="1" applyBorder="1" applyAlignment="1" applyProtection="1">
      <alignment horizontal="right" vertical="center"/>
    </xf>
    <xf numFmtId="0" fontId="6" fillId="0" borderId="1" xfId="2" applyNumberFormat="1" applyFont="1" applyFill="1" applyBorder="1" applyAlignment="1" applyProtection="1">
      <alignment horizontal="center" vertical="center" wrapText="1"/>
    </xf>
    <xf numFmtId="0" fontId="5" fillId="0" borderId="1" xfId="2" applyNumberFormat="1" applyFont="1" applyFill="1" applyBorder="1" applyAlignment="1" applyProtection="1">
      <alignment vertical="center"/>
    </xf>
    <xf numFmtId="166" fontId="6" fillId="0" borderId="1" xfId="2" applyNumberFormat="1" applyFont="1" applyFill="1" applyBorder="1" applyAlignment="1" applyProtection="1">
      <alignment horizontal="center" vertical="center" wrapText="1"/>
    </xf>
    <xf numFmtId="0" fontId="5" fillId="0" borderId="1" xfId="3" applyNumberFormat="1" applyFont="1" applyFill="1" applyBorder="1" applyAlignment="1" applyProtection="1">
      <alignment horizontal="center" vertical="top"/>
    </xf>
    <xf numFmtId="2" fontId="5" fillId="0" borderId="3" xfId="2" applyNumberFormat="1" applyFont="1" applyFill="1" applyBorder="1" applyAlignment="1" applyProtection="1">
      <alignment horizontal="justify" vertical="top" wrapText="1"/>
      <protection locked="0"/>
    </xf>
    <xf numFmtId="167" fontId="6" fillId="0" borderId="1" xfId="2" applyNumberFormat="1" applyFont="1" applyFill="1" applyBorder="1" applyAlignment="1" applyProtection="1">
      <alignment horizontal="right" vertical="top"/>
      <protection locked="0"/>
    </xf>
    <xf numFmtId="166" fontId="6" fillId="0" borderId="1" xfId="2" applyNumberFormat="1" applyFont="1" applyFill="1" applyBorder="1" applyAlignment="1" applyProtection="1">
      <alignment horizontal="center" vertical="top" wrapText="1"/>
      <protection locked="0"/>
    </xf>
    <xf numFmtId="166" fontId="6" fillId="0" borderId="3" xfId="2" applyNumberFormat="1" applyFont="1" applyFill="1" applyBorder="1" applyAlignment="1" applyProtection="1">
      <alignment horizontal="center" vertical="top" wrapText="1"/>
      <protection locked="0"/>
    </xf>
    <xf numFmtId="43" fontId="6" fillId="5" borderId="3" xfId="4" applyFont="1" applyFill="1" applyBorder="1" applyAlignment="1" applyProtection="1">
      <alignment horizontal="center" vertical="top"/>
      <protection locked="0"/>
    </xf>
    <xf numFmtId="166" fontId="6" fillId="0" borderId="1" xfId="2" applyNumberFormat="1" applyFont="1" applyFill="1" applyBorder="1" applyAlignment="1" applyProtection="1">
      <alignment horizontal="center" vertical="center" wrapText="1"/>
      <protection locked="0"/>
    </xf>
    <xf numFmtId="166" fontId="6" fillId="0" borderId="1" xfId="2" applyNumberFormat="1" applyFont="1" applyFill="1" applyBorder="1" applyAlignment="1" applyProtection="1">
      <alignment horizontal="center" vertical="top" shrinkToFit="1"/>
      <protection locked="0"/>
    </xf>
    <xf numFmtId="0" fontId="5" fillId="0" borderId="1" xfId="2" applyNumberFormat="1" applyFont="1" applyFill="1" applyBorder="1" applyAlignment="1" applyProtection="1">
      <alignment horizontal="center" vertical="top" wrapText="1"/>
    </xf>
  </cellXfs>
  <cellStyles count="5">
    <cellStyle name="Comma 2" xfId="4" xr:uid="{01A83BDD-788E-42CD-A500-9E689A0044F9}"/>
    <cellStyle name="Normal" xfId="0" builtinId="0"/>
    <cellStyle name="Normal 2" xfId="1" xr:uid="{31EB564F-3F82-406C-B62F-42F5AE144D31}"/>
    <cellStyle name="Normal 2 2" xfId="2" xr:uid="{8AF09F17-B8B4-448B-8FDB-B846BE5D0289}"/>
    <cellStyle name="Normal 3 2" xfId="3" xr:uid="{74CC0F00-EDD7-425D-937A-7611B1EA9F0A}"/>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24093</xdr:colOff>
      <xdr:row>0</xdr:row>
      <xdr:rowOff>54351</xdr:rowOff>
    </xdr:from>
    <xdr:to>
      <xdr:col>0</xdr:col>
      <xdr:colOff>590550</xdr:colOff>
      <xdr:row>3</xdr:row>
      <xdr:rowOff>204286</xdr:rowOff>
    </xdr:to>
    <xdr:pic>
      <xdr:nvPicPr>
        <xdr:cNvPr id="2" name="Picture 1">
          <a:extLst>
            <a:ext uri="{FF2B5EF4-FFF2-40B4-BE49-F238E27FC236}">
              <a16:creationId xmlns:a16="http://schemas.microsoft.com/office/drawing/2014/main" id="{F608305C-3DDE-45E7-AA71-DBE3F8A63509}"/>
            </a:ext>
          </a:extLst>
        </xdr:cNvPr>
        <xdr:cNvPicPr>
          <a:picLocks noChangeAspect="1"/>
        </xdr:cNvPicPr>
      </xdr:nvPicPr>
      <xdr:blipFill>
        <a:blip xmlns:r="http://schemas.openxmlformats.org/officeDocument/2006/relationships" r:embed="rId1"/>
        <a:stretch>
          <a:fillRect/>
        </a:stretch>
      </xdr:blipFill>
      <xdr:spPr>
        <a:xfrm>
          <a:off x="24093" y="54351"/>
          <a:ext cx="566457" cy="8357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63B35-BEAA-4C78-86CF-26DA0CF7A8C9}">
  <dimension ref="A1:M73"/>
  <sheetViews>
    <sheetView tabSelected="1" view="pageBreakPreview" topLeftCell="A20" zoomScale="90" zoomScaleNormal="100" zoomScaleSheetLayoutView="90" workbookViewId="0">
      <selection activeCell="I8" sqref="I8:I42"/>
    </sheetView>
  </sheetViews>
  <sheetFormatPr defaultColWidth="9.140625" defaultRowHeight="15" x14ac:dyDescent="0.25"/>
  <cols>
    <col min="1" max="1" width="9.140625" style="1" customWidth="1"/>
    <col min="2" max="2" width="20.85546875" style="1" customWidth="1"/>
    <col min="3" max="3" width="29" style="1" customWidth="1"/>
    <col min="4" max="4" width="9.28515625" style="1" customWidth="1"/>
    <col min="5" max="5" width="12" style="1" customWidth="1"/>
    <col min="6" max="6" width="9.5703125" style="1" customWidth="1"/>
    <col min="7" max="7" width="22.140625" style="31" customWidth="1"/>
    <col min="8" max="8" width="24.5703125" style="31" customWidth="1"/>
    <col min="9" max="9" width="23.5703125" style="1" customWidth="1"/>
    <col min="10" max="10" width="19.140625" style="1" customWidth="1"/>
    <col min="11" max="11" width="20.5703125" style="1" customWidth="1"/>
    <col min="12" max="12" width="17.7109375" style="1" customWidth="1"/>
    <col min="13" max="13" width="21.42578125" style="1" customWidth="1"/>
    <col min="14" max="16384" width="9.140625" style="1"/>
  </cols>
  <sheetData>
    <row r="1" spans="1:13" ht="18" customHeight="1" x14ac:dyDescent="0.25">
      <c r="A1" s="45"/>
      <c r="B1" s="75" t="s">
        <v>107</v>
      </c>
      <c r="C1" s="76"/>
      <c r="D1" s="76"/>
      <c r="E1" s="76"/>
      <c r="F1" s="76"/>
      <c r="G1" s="76"/>
      <c r="H1" s="76"/>
      <c r="I1" s="76"/>
      <c r="J1" s="76"/>
      <c r="K1" s="76"/>
      <c r="L1" s="76"/>
      <c r="M1" s="76"/>
    </row>
    <row r="2" spans="1:13" ht="18" customHeight="1" x14ac:dyDescent="0.25">
      <c r="A2" s="45"/>
      <c r="B2" s="76"/>
      <c r="C2" s="76"/>
      <c r="D2" s="76"/>
      <c r="E2" s="76"/>
      <c r="F2" s="76"/>
      <c r="G2" s="76"/>
      <c r="H2" s="76"/>
      <c r="I2" s="76"/>
      <c r="J2" s="76"/>
      <c r="K2" s="76"/>
      <c r="L2" s="76"/>
      <c r="M2" s="76"/>
    </row>
    <row r="3" spans="1:13" ht="18" customHeight="1" x14ac:dyDescent="0.25">
      <c r="A3" s="45"/>
      <c r="B3" s="76"/>
      <c r="C3" s="76"/>
      <c r="D3" s="76"/>
      <c r="E3" s="76"/>
      <c r="F3" s="76"/>
      <c r="G3" s="76"/>
      <c r="H3" s="76"/>
      <c r="I3" s="76"/>
      <c r="J3" s="76"/>
      <c r="K3" s="76"/>
      <c r="L3" s="76"/>
      <c r="M3" s="76"/>
    </row>
    <row r="4" spans="1:13" ht="18" customHeight="1" x14ac:dyDescent="0.25">
      <c r="A4" s="46"/>
      <c r="B4" s="76"/>
      <c r="C4" s="76"/>
      <c r="D4" s="76"/>
      <c r="E4" s="76"/>
      <c r="F4" s="76"/>
      <c r="G4" s="76"/>
      <c r="H4" s="76"/>
      <c r="I4" s="76"/>
      <c r="J4" s="76"/>
      <c r="K4" s="76"/>
      <c r="L4" s="76"/>
      <c r="M4" s="76"/>
    </row>
    <row r="5" spans="1:13" ht="18.75" x14ac:dyDescent="0.25">
      <c r="A5" s="50" t="s">
        <v>105</v>
      </c>
      <c r="B5" s="51"/>
      <c r="C5" s="51"/>
      <c r="D5" s="51"/>
      <c r="E5" s="51"/>
      <c r="F5" s="51"/>
      <c r="G5" s="51"/>
      <c r="H5" s="51"/>
      <c r="I5" s="51"/>
      <c r="J5" s="51"/>
      <c r="K5" s="51"/>
      <c r="L5" s="51"/>
      <c r="M5" s="51"/>
    </row>
    <row r="6" spans="1:13" ht="74.25" customHeight="1" x14ac:dyDescent="0.25">
      <c r="A6" s="41" t="s">
        <v>0</v>
      </c>
      <c r="B6" s="41" t="s">
        <v>1</v>
      </c>
      <c r="C6" s="41" t="s">
        <v>2</v>
      </c>
      <c r="D6" s="41" t="s">
        <v>3</v>
      </c>
      <c r="E6" s="41" t="s">
        <v>4</v>
      </c>
      <c r="F6" s="41" t="s">
        <v>5</v>
      </c>
      <c r="G6" s="41" t="s">
        <v>6</v>
      </c>
      <c r="H6" s="41" t="s">
        <v>7</v>
      </c>
      <c r="I6" s="39" t="s">
        <v>98</v>
      </c>
      <c r="J6" s="39" t="s">
        <v>99</v>
      </c>
      <c r="K6" s="39" t="s">
        <v>100</v>
      </c>
      <c r="L6" s="39" t="s">
        <v>101</v>
      </c>
      <c r="M6" s="39" t="s">
        <v>102</v>
      </c>
    </row>
    <row r="7" spans="1:13" ht="51" customHeight="1" x14ac:dyDescent="0.25">
      <c r="A7" s="2" t="s">
        <v>8</v>
      </c>
      <c r="B7" s="52" t="s">
        <v>9</v>
      </c>
      <c r="C7" s="53"/>
      <c r="D7" s="53"/>
      <c r="E7" s="53"/>
      <c r="F7" s="53"/>
      <c r="G7" s="53"/>
      <c r="H7" s="53"/>
      <c r="I7" s="53"/>
      <c r="J7" s="53"/>
      <c r="K7" s="53"/>
      <c r="L7" s="53"/>
      <c r="M7" s="54"/>
    </row>
    <row r="8" spans="1:13" ht="15.75" customHeight="1" x14ac:dyDescent="0.25">
      <c r="A8" s="3">
        <v>1</v>
      </c>
      <c r="B8" s="4" t="s">
        <v>10</v>
      </c>
      <c r="C8" s="5" t="s">
        <v>11</v>
      </c>
      <c r="D8" s="6" t="s">
        <v>12</v>
      </c>
      <c r="E8" s="7">
        <v>211000</v>
      </c>
      <c r="F8" s="40">
        <v>1000</v>
      </c>
      <c r="G8" s="42" t="e">
        <f>0.007*H48/211000</f>
        <v>#VALUE!</v>
      </c>
      <c r="H8" s="40" t="e">
        <f>0.007*H48</f>
        <v>#VALUE!</v>
      </c>
      <c r="I8" s="58"/>
      <c r="J8" s="37" t="e">
        <f>H8*$I$8%</f>
        <v>#VALUE!</v>
      </c>
      <c r="K8" s="64"/>
      <c r="L8" s="37" t="e">
        <f>(H8+J8)*$K$8%</f>
        <v>#VALUE!</v>
      </c>
      <c r="M8" s="37" t="e">
        <f>H8+J8+L8</f>
        <v>#VALUE!</v>
      </c>
    </row>
    <row r="9" spans="1:13" x14ac:dyDescent="0.25">
      <c r="A9" s="3">
        <v>2</v>
      </c>
      <c r="B9" s="8" t="s">
        <v>13</v>
      </c>
      <c r="C9" s="9" t="s">
        <v>14</v>
      </c>
      <c r="D9" s="10" t="s">
        <v>12</v>
      </c>
      <c r="E9" s="7">
        <v>6000</v>
      </c>
      <c r="F9" s="12">
        <v>1000</v>
      </c>
      <c r="G9" s="43" t="e">
        <f>0.0003*H48/6000</f>
        <v>#VALUE!</v>
      </c>
      <c r="H9" s="12" t="e">
        <f>0.0003*H48</f>
        <v>#VALUE!</v>
      </c>
      <c r="I9" s="59"/>
      <c r="J9" s="37" t="e">
        <f t="shared" ref="J9:J47" si="0">H9*$I$8%</f>
        <v>#VALUE!</v>
      </c>
      <c r="K9" s="65"/>
      <c r="L9" s="37" t="e">
        <f t="shared" ref="L9:L47" si="1">(H9+J9)*$K$8%</f>
        <v>#VALUE!</v>
      </c>
      <c r="M9" s="37" t="e">
        <f t="shared" ref="M9:M47" si="2">H9+J9+L9</f>
        <v>#VALUE!</v>
      </c>
    </row>
    <row r="10" spans="1:13" x14ac:dyDescent="0.25">
      <c r="A10" s="3">
        <v>3</v>
      </c>
      <c r="B10" s="8" t="s">
        <v>15</v>
      </c>
      <c r="C10" s="9" t="s">
        <v>16</v>
      </c>
      <c r="D10" s="10" t="s">
        <v>12</v>
      </c>
      <c r="E10" s="7">
        <v>34000</v>
      </c>
      <c r="F10" s="12">
        <v>1000</v>
      </c>
      <c r="G10" s="43" t="e">
        <f>0.0022*H48/34000</f>
        <v>#VALUE!</v>
      </c>
      <c r="H10" s="12" t="e">
        <f>0.0022*H48</f>
        <v>#VALUE!</v>
      </c>
      <c r="I10" s="59"/>
      <c r="J10" s="37" t="e">
        <f t="shared" si="0"/>
        <v>#VALUE!</v>
      </c>
      <c r="K10" s="65"/>
      <c r="L10" s="37" t="e">
        <f t="shared" si="1"/>
        <v>#VALUE!</v>
      </c>
      <c r="M10" s="37" t="e">
        <f t="shared" si="2"/>
        <v>#VALUE!</v>
      </c>
    </row>
    <row r="11" spans="1:13" x14ac:dyDescent="0.25">
      <c r="A11" s="3">
        <v>4</v>
      </c>
      <c r="B11" s="8" t="s">
        <v>17</v>
      </c>
      <c r="C11" s="9" t="s">
        <v>18</v>
      </c>
      <c r="D11" s="10" t="s">
        <v>12</v>
      </c>
      <c r="E11" s="7">
        <v>5000</v>
      </c>
      <c r="F11" s="12">
        <v>1000</v>
      </c>
      <c r="G11" s="43" t="e">
        <f>0.0004*H48/5000</f>
        <v>#VALUE!</v>
      </c>
      <c r="H11" s="12" t="e">
        <f>0.0004*H48</f>
        <v>#VALUE!</v>
      </c>
      <c r="I11" s="59"/>
      <c r="J11" s="37" t="e">
        <f t="shared" si="0"/>
        <v>#VALUE!</v>
      </c>
      <c r="K11" s="65"/>
      <c r="L11" s="37" t="e">
        <f t="shared" si="1"/>
        <v>#VALUE!</v>
      </c>
      <c r="M11" s="37" t="e">
        <f t="shared" si="2"/>
        <v>#VALUE!</v>
      </c>
    </row>
    <row r="12" spans="1:13" x14ac:dyDescent="0.25">
      <c r="A12" s="3">
        <v>5</v>
      </c>
      <c r="B12" s="8" t="s">
        <v>19</v>
      </c>
      <c r="C12" s="9" t="s">
        <v>20</v>
      </c>
      <c r="D12" s="10" t="s">
        <v>12</v>
      </c>
      <c r="E12" s="7">
        <v>1649000</v>
      </c>
      <c r="F12" s="12">
        <v>1000</v>
      </c>
      <c r="G12" s="43" t="e">
        <f>0.2206*H48/1649000</f>
        <v>#VALUE!</v>
      </c>
      <c r="H12" s="12" t="e">
        <f>0.2206*H48</f>
        <v>#VALUE!</v>
      </c>
      <c r="I12" s="59"/>
      <c r="J12" s="37" t="e">
        <f t="shared" si="0"/>
        <v>#VALUE!</v>
      </c>
      <c r="K12" s="65"/>
      <c r="L12" s="37" t="e">
        <f t="shared" si="1"/>
        <v>#VALUE!</v>
      </c>
      <c r="M12" s="37" t="e">
        <f t="shared" si="2"/>
        <v>#VALUE!</v>
      </c>
    </row>
    <row r="13" spans="1:13" x14ac:dyDescent="0.25">
      <c r="A13" s="3">
        <v>6</v>
      </c>
      <c r="B13" s="8" t="s">
        <v>21</v>
      </c>
      <c r="C13" s="9" t="s">
        <v>22</v>
      </c>
      <c r="D13" s="10" t="s">
        <v>12</v>
      </c>
      <c r="E13" s="7">
        <v>100000</v>
      </c>
      <c r="F13" s="12">
        <v>1000</v>
      </c>
      <c r="G13" s="43" t="e">
        <f>0.017*H48/100000</f>
        <v>#VALUE!</v>
      </c>
      <c r="H13" s="12" t="e">
        <f>0.017*H48</f>
        <v>#VALUE!</v>
      </c>
      <c r="I13" s="59"/>
      <c r="J13" s="37" t="e">
        <f t="shared" si="0"/>
        <v>#VALUE!</v>
      </c>
      <c r="K13" s="65"/>
      <c r="L13" s="37" t="e">
        <f t="shared" si="1"/>
        <v>#VALUE!</v>
      </c>
      <c r="M13" s="37" t="e">
        <f t="shared" si="2"/>
        <v>#VALUE!</v>
      </c>
    </row>
    <row r="14" spans="1:13" x14ac:dyDescent="0.25">
      <c r="A14" s="3">
        <v>7</v>
      </c>
      <c r="B14" s="8" t="s">
        <v>23</v>
      </c>
      <c r="C14" s="9" t="s">
        <v>24</v>
      </c>
      <c r="D14" s="10" t="s">
        <v>12</v>
      </c>
      <c r="E14" s="7">
        <v>327000</v>
      </c>
      <c r="F14" s="12">
        <v>750</v>
      </c>
      <c r="G14" s="43" t="e">
        <f>0.08323*H48/327000</f>
        <v>#VALUE!</v>
      </c>
      <c r="H14" s="12" t="e">
        <f>0.08323*H48</f>
        <v>#VALUE!</v>
      </c>
      <c r="I14" s="59"/>
      <c r="J14" s="37" t="e">
        <f t="shared" si="0"/>
        <v>#VALUE!</v>
      </c>
      <c r="K14" s="65"/>
      <c r="L14" s="37" t="e">
        <f t="shared" si="1"/>
        <v>#VALUE!</v>
      </c>
      <c r="M14" s="37" t="e">
        <f t="shared" si="2"/>
        <v>#VALUE!</v>
      </c>
    </row>
    <row r="15" spans="1:13" x14ac:dyDescent="0.25">
      <c r="A15" s="3">
        <v>8</v>
      </c>
      <c r="B15" s="8" t="s">
        <v>25</v>
      </c>
      <c r="C15" s="9" t="s">
        <v>26</v>
      </c>
      <c r="D15" s="10" t="s">
        <v>12</v>
      </c>
      <c r="E15" s="7">
        <v>256000</v>
      </c>
      <c r="F15" s="12">
        <v>1000</v>
      </c>
      <c r="G15" s="43" t="e">
        <f>0.007*H48/256000</f>
        <v>#VALUE!</v>
      </c>
      <c r="H15" s="12" t="e">
        <f>0.007*H48</f>
        <v>#VALUE!</v>
      </c>
      <c r="I15" s="59"/>
      <c r="J15" s="37" t="e">
        <f t="shared" si="0"/>
        <v>#VALUE!</v>
      </c>
      <c r="K15" s="65"/>
      <c r="L15" s="37" t="e">
        <f t="shared" si="1"/>
        <v>#VALUE!</v>
      </c>
      <c r="M15" s="37" t="e">
        <f t="shared" si="2"/>
        <v>#VALUE!</v>
      </c>
    </row>
    <row r="16" spans="1:13" x14ac:dyDescent="0.25">
      <c r="A16" s="3">
        <v>9</v>
      </c>
      <c r="B16" s="8" t="s">
        <v>27</v>
      </c>
      <c r="C16" s="9" t="s">
        <v>28</v>
      </c>
      <c r="D16" s="10" t="s">
        <v>12</v>
      </c>
      <c r="E16" s="7">
        <v>152000</v>
      </c>
      <c r="F16" s="12">
        <v>1000</v>
      </c>
      <c r="G16" s="43" t="e">
        <f>0.005*H48/152000</f>
        <v>#VALUE!</v>
      </c>
      <c r="H16" s="12" t="e">
        <f>0.005*H48</f>
        <v>#VALUE!</v>
      </c>
      <c r="I16" s="59"/>
      <c r="J16" s="37" t="e">
        <f t="shared" si="0"/>
        <v>#VALUE!</v>
      </c>
      <c r="K16" s="65"/>
      <c r="L16" s="37" t="e">
        <f t="shared" si="1"/>
        <v>#VALUE!</v>
      </c>
      <c r="M16" s="37" t="e">
        <f t="shared" si="2"/>
        <v>#VALUE!</v>
      </c>
    </row>
    <row r="17" spans="1:13" x14ac:dyDescent="0.25">
      <c r="A17" s="3">
        <v>10</v>
      </c>
      <c r="B17" s="8" t="s">
        <v>29</v>
      </c>
      <c r="C17" s="9" t="s">
        <v>30</v>
      </c>
      <c r="D17" s="10" t="s">
        <v>12</v>
      </c>
      <c r="E17" s="7">
        <v>78000</v>
      </c>
      <c r="F17" s="12">
        <v>1000</v>
      </c>
      <c r="G17" s="43" t="e">
        <f>0.004*H48/78000</f>
        <v>#VALUE!</v>
      </c>
      <c r="H17" s="12" t="e">
        <f>0.004*H48</f>
        <v>#VALUE!</v>
      </c>
      <c r="I17" s="59"/>
      <c r="J17" s="37" t="e">
        <f t="shared" si="0"/>
        <v>#VALUE!</v>
      </c>
      <c r="K17" s="65"/>
      <c r="L17" s="37" t="e">
        <f t="shared" si="1"/>
        <v>#VALUE!</v>
      </c>
      <c r="M17" s="37" t="e">
        <f t="shared" si="2"/>
        <v>#VALUE!</v>
      </c>
    </row>
    <row r="18" spans="1:13" x14ac:dyDescent="0.25">
      <c r="A18" s="3">
        <v>11</v>
      </c>
      <c r="B18" s="8" t="s">
        <v>31</v>
      </c>
      <c r="C18" s="9" t="s">
        <v>32</v>
      </c>
      <c r="D18" s="10" t="s">
        <v>12</v>
      </c>
      <c r="E18" s="7">
        <v>293000</v>
      </c>
      <c r="F18" s="12">
        <v>1000</v>
      </c>
      <c r="G18" s="43" t="e">
        <f>0.02523*H48/293000</f>
        <v>#VALUE!</v>
      </c>
      <c r="H18" s="12" t="e">
        <f>0.02523*H48</f>
        <v>#VALUE!</v>
      </c>
      <c r="I18" s="59"/>
      <c r="J18" s="37" t="e">
        <f t="shared" si="0"/>
        <v>#VALUE!</v>
      </c>
      <c r="K18" s="65"/>
      <c r="L18" s="37" t="e">
        <f t="shared" si="1"/>
        <v>#VALUE!</v>
      </c>
      <c r="M18" s="37" t="e">
        <f t="shared" si="2"/>
        <v>#VALUE!</v>
      </c>
    </row>
    <row r="19" spans="1:13" x14ac:dyDescent="0.25">
      <c r="A19" s="3">
        <v>12</v>
      </c>
      <c r="B19" s="8" t="s">
        <v>33</v>
      </c>
      <c r="C19" s="9" t="s">
        <v>34</v>
      </c>
      <c r="D19" s="10" t="s">
        <v>12</v>
      </c>
      <c r="E19" s="7">
        <v>436000</v>
      </c>
      <c r="F19" s="12">
        <v>1000</v>
      </c>
      <c r="G19" s="43" t="e">
        <f>0.014*H48/436000</f>
        <v>#VALUE!</v>
      </c>
      <c r="H19" s="12" t="e">
        <f>0.014*H48</f>
        <v>#VALUE!</v>
      </c>
      <c r="I19" s="59"/>
      <c r="J19" s="37" t="e">
        <f t="shared" si="0"/>
        <v>#VALUE!</v>
      </c>
      <c r="K19" s="65"/>
      <c r="L19" s="37" t="e">
        <f t="shared" si="1"/>
        <v>#VALUE!</v>
      </c>
      <c r="M19" s="37" t="e">
        <f t="shared" si="2"/>
        <v>#VALUE!</v>
      </c>
    </row>
    <row r="20" spans="1:13" x14ac:dyDescent="0.25">
      <c r="A20" s="3">
        <v>13</v>
      </c>
      <c r="B20" s="8" t="s">
        <v>35</v>
      </c>
      <c r="C20" s="9" t="s">
        <v>36</v>
      </c>
      <c r="D20" s="10" t="s">
        <v>12</v>
      </c>
      <c r="E20" s="7">
        <v>176000</v>
      </c>
      <c r="F20" s="12">
        <v>1000</v>
      </c>
      <c r="G20" s="43" t="e">
        <f>0.007*H48/176000</f>
        <v>#VALUE!</v>
      </c>
      <c r="H20" s="12" t="e">
        <f>0.007*H48</f>
        <v>#VALUE!</v>
      </c>
      <c r="I20" s="59"/>
      <c r="J20" s="37" t="e">
        <f t="shared" si="0"/>
        <v>#VALUE!</v>
      </c>
      <c r="K20" s="65"/>
      <c r="L20" s="37" t="e">
        <f t="shared" si="1"/>
        <v>#VALUE!</v>
      </c>
      <c r="M20" s="37" t="e">
        <f t="shared" si="2"/>
        <v>#VALUE!</v>
      </c>
    </row>
    <row r="21" spans="1:13" x14ac:dyDescent="0.25">
      <c r="A21" s="3">
        <v>14</v>
      </c>
      <c r="B21" s="8" t="s">
        <v>37</v>
      </c>
      <c r="C21" s="9" t="s">
        <v>38</v>
      </c>
      <c r="D21" s="10" t="s">
        <v>12</v>
      </c>
      <c r="E21" s="7">
        <v>614000</v>
      </c>
      <c r="F21" s="12">
        <v>1000</v>
      </c>
      <c r="G21" s="43" t="e">
        <f>0.028*H48/614000</f>
        <v>#VALUE!</v>
      </c>
      <c r="H21" s="12" t="e">
        <f>0.028*H48</f>
        <v>#VALUE!</v>
      </c>
      <c r="I21" s="59"/>
      <c r="J21" s="37" t="e">
        <f t="shared" si="0"/>
        <v>#VALUE!</v>
      </c>
      <c r="K21" s="65"/>
      <c r="L21" s="37" t="e">
        <f t="shared" si="1"/>
        <v>#VALUE!</v>
      </c>
      <c r="M21" s="37" t="e">
        <f t="shared" si="2"/>
        <v>#VALUE!</v>
      </c>
    </row>
    <row r="22" spans="1:13" x14ac:dyDescent="0.25">
      <c r="A22" s="3">
        <v>15</v>
      </c>
      <c r="B22" s="8" t="s">
        <v>39</v>
      </c>
      <c r="C22" s="9" t="s">
        <v>40</v>
      </c>
      <c r="D22" s="10" t="s">
        <v>12</v>
      </c>
      <c r="E22" s="7">
        <v>294000</v>
      </c>
      <c r="F22" s="12">
        <v>1000</v>
      </c>
      <c r="G22" s="43" t="e">
        <f>0.01635*H48/294000</f>
        <v>#VALUE!</v>
      </c>
      <c r="H22" s="12" t="e">
        <f>0.01635*H48</f>
        <v>#VALUE!</v>
      </c>
      <c r="I22" s="59"/>
      <c r="J22" s="37" t="e">
        <f t="shared" si="0"/>
        <v>#VALUE!</v>
      </c>
      <c r="K22" s="65"/>
      <c r="L22" s="37" t="e">
        <f t="shared" si="1"/>
        <v>#VALUE!</v>
      </c>
      <c r="M22" s="37" t="e">
        <f t="shared" si="2"/>
        <v>#VALUE!</v>
      </c>
    </row>
    <row r="23" spans="1:13" x14ac:dyDescent="0.25">
      <c r="A23" s="3">
        <v>16</v>
      </c>
      <c r="B23" s="8" t="s">
        <v>41</v>
      </c>
      <c r="C23" s="9" t="s">
        <v>42</v>
      </c>
      <c r="D23" s="10" t="s">
        <v>12</v>
      </c>
      <c r="E23" s="7">
        <v>289000</v>
      </c>
      <c r="F23" s="12">
        <v>1000</v>
      </c>
      <c r="G23" s="43" t="e">
        <f>0.02005*H48/289000</f>
        <v>#VALUE!</v>
      </c>
      <c r="H23" s="12" t="e">
        <f>0.02005*H48</f>
        <v>#VALUE!</v>
      </c>
      <c r="I23" s="59"/>
      <c r="J23" s="37" t="e">
        <f t="shared" si="0"/>
        <v>#VALUE!</v>
      </c>
      <c r="K23" s="65"/>
      <c r="L23" s="37" t="e">
        <f t="shared" si="1"/>
        <v>#VALUE!</v>
      </c>
      <c r="M23" s="37" t="e">
        <f t="shared" si="2"/>
        <v>#VALUE!</v>
      </c>
    </row>
    <row r="24" spans="1:13" x14ac:dyDescent="0.25">
      <c r="A24" s="3">
        <v>17</v>
      </c>
      <c r="B24" s="8" t="s">
        <v>43</v>
      </c>
      <c r="C24" s="9" t="s">
        <v>44</v>
      </c>
      <c r="D24" s="10" t="s">
        <v>12</v>
      </c>
      <c r="E24" s="7">
        <v>94000</v>
      </c>
      <c r="F24" s="12">
        <v>1000</v>
      </c>
      <c r="G24" s="43" t="e">
        <f>0.009*H48/94000</f>
        <v>#VALUE!</v>
      </c>
      <c r="H24" s="12" t="e">
        <f>0.009*H48</f>
        <v>#VALUE!</v>
      </c>
      <c r="I24" s="59"/>
      <c r="J24" s="37" t="e">
        <f t="shared" si="0"/>
        <v>#VALUE!</v>
      </c>
      <c r="K24" s="65"/>
      <c r="L24" s="37" t="e">
        <f t="shared" si="1"/>
        <v>#VALUE!</v>
      </c>
      <c r="M24" s="37" t="e">
        <f t="shared" si="2"/>
        <v>#VALUE!</v>
      </c>
    </row>
    <row r="25" spans="1:13" x14ac:dyDescent="0.25">
      <c r="A25" s="3">
        <v>18</v>
      </c>
      <c r="B25" s="8" t="s">
        <v>45</v>
      </c>
      <c r="C25" s="9" t="s">
        <v>46</v>
      </c>
      <c r="D25" s="10" t="s">
        <v>12</v>
      </c>
      <c r="E25" s="7">
        <v>285000</v>
      </c>
      <c r="F25" s="12">
        <v>1000</v>
      </c>
      <c r="G25" s="43" t="e">
        <f>0.03332*H48/285000</f>
        <v>#VALUE!</v>
      </c>
      <c r="H25" s="12" t="e">
        <f>0.03332*H48</f>
        <v>#VALUE!</v>
      </c>
      <c r="I25" s="59"/>
      <c r="J25" s="37" t="e">
        <f t="shared" si="0"/>
        <v>#VALUE!</v>
      </c>
      <c r="K25" s="65"/>
      <c r="L25" s="37" t="e">
        <f t="shared" si="1"/>
        <v>#VALUE!</v>
      </c>
      <c r="M25" s="37" t="e">
        <f t="shared" si="2"/>
        <v>#VALUE!</v>
      </c>
    </row>
    <row r="26" spans="1:13" x14ac:dyDescent="0.25">
      <c r="A26" s="3">
        <v>19</v>
      </c>
      <c r="B26" s="8" t="s">
        <v>47</v>
      </c>
      <c r="C26" s="9" t="s">
        <v>48</v>
      </c>
      <c r="D26" s="10" t="s">
        <v>12</v>
      </c>
      <c r="E26" s="7">
        <v>18000</v>
      </c>
      <c r="F26" s="12">
        <v>1000</v>
      </c>
      <c r="G26" s="43" t="e">
        <f>0.0026*H48/18000</f>
        <v>#VALUE!</v>
      </c>
      <c r="H26" s="12" t="e">
        <f>0.0026*H48</f>
        <v>#VALUE!</v>
      </c>
      <c r="I26" s="59"/>
      <c r="J26" s="37" t="e">
        <f t="shared" si="0"/>
        <v>#VALUE!</v>
      </c>
      <c r="K26" s="65"/>
      <c r="L26" s="37" t="e">
        <f t="shared" si="1"/>
        <v>#VALUE!</v>
      </c>
      <c r="M26" s="37" t="e">
        <f t="shared" si="2"/>
        <v>#VALUE!</v>
      </c>
    </row>
    <row r="27" spans="1:13" x14ac:dyDescent="0.25">
      <c r="A27" s="3">
        <v>20</v>
      </c>
      <c r="B27" s="8" t="s">
        <v>49</v>
      </c>
      <c r="C27" s="9" t="s">
        <v>50</v>
      </c>
      <c r="D27" s="10" t="s">
        <v>12</v>
      </c>
      <c r="E27" s="7">
        <v>197000</v>
      </c>
      <c r="F27" s="12">
        <v>1000</v>
      </c>
      <c r="G27" s="43" t="e">
        <f>0.03433*H48/197000</f>
        <v>#VALUE!</v>
      </c>
      <c r="H27" s="12" t="e">
        <f>0.03433*H48</f>
        <v>#VALUE!</v>
      </c>
      <c r="I27" s="59"/>
      <c r="J27" s="37" t="e">
        <f t="shared" si="0"/>
        <v>#VALUE!</v>
      </c>
      <c r="K27" s="65"/>
      <c r="L27" s="37" t="e">
        <f t="shared" si="1"/>
        <v>#VALUE!</v>
      </c>
      <c r="M27" s="37" t="e">
        <f t="shared" si="2"/>
        <v>#VALUE!</v>
      </c>
    </row>
    <row r="28" spans="1:13" x14ac:dyDescent="0.25">
      <c r="A28" s="3">
        <v>21</v>
      </c>
      <c r="B28" s="8" t="s">
        <v>51</v>
      </c>
      <c r="C28" s="9" t="s">
        <v>52</v>
      </c>
      <c r="D28" s="10" t="s">
        <v>12</v>
      </c>
      <c r="E28" s="7">
        <v>43000</v>
      </c>
      <c r="F28" s="12">
        <v>1000</v>
      </c>
      <c r="G28" s="43" t="e">
        <f>0.00923*H48/43000</f>
        <v>#VALUE!</v>
      </c>
      <c r="H28" s="12" t="e">
        <f>0.00923*H48</f>
        <v>#VALUE!</v>
      </c>
      <c r="I28" s="59"/>
      <c r="J28" s="37" t="e">
        <f t="shared" si="0"/>
        <v>#VALUE!</v>
      </c>
      <c r="K28" s="65"/>
      <c r="L28" s="37" t="e">
        <f t="shared" si="1"/>
        <v>#VALUE!</v>
      </c>
      <c r="M28" s="37" t="e">
        <f t="shared" si="2"/>
        <v>#VALUE!</v>
      </c>
    </row>
    <row r="29" spans="1:13" x14ac:dyDescent="0.25">
      <c r="A29" s="3">
        <v>22</v>
      </c>
      <c r="B29" s="8" t="s">
        <v>53</v>
      </c>
      <c r="C29" s="9" t="s">
        <v>54</v>
      </c>
      <c r="D29" s="10" t="s">
        <v>12</v>
      </c>
      <c r="E29" s="7">
        <v>297000</v>
      </c>
      <c r="F29" s="12">
        <v>750</v>
      </c>
      <c r="G29" s="43" t="e">
        <f>0.0819*H48/297000</f>
        <v>#VALUE!</v>
      </c>
      <c r="H29" s="12" t="e">
        <f>0.0819*H48</f>
        <v>#VALUE!</v>
      </c>
      <c r="I29" s="59"/>
      <c r="J29" s="37" t="e">
        <f t="shared" si="0"/>
        <v>#VALUE!</v>
      </c>
      <c r="K29" s="65"/>
      <c r="L29" s="37" t="e">
        <f t="shared" si="1"/>
        <v>#VALUE!</v>
      </c>
      <c r="M29" s="37" t="e">
        <f t="shared" si="2"/>
        <v>#VALUE!</v>
      </c>
    </row>
    <row r="30" spans="1:13" x14ac:dyDescent="0.25">
      <c r="A30" s="3">
        <v>23</v>
      </c>
      <c r="B30" s="8" t="s">
        <v>55</v>
      </c>
      <c r="C30" s="9" t="s">
        <v>56</v>
      </c>
      <c r="D30" s="10" t="s">
        <v>12</v>
      </c>
      <c r="E30" s="7">
        <v>35250</v>
      </c>
      <c r="F30" s="12">
        <v>750</v>
      </c>
      <c r="G30" s="43" t="e">
        <f>0.012*H48/35250</f>
        <v>#VALUE!</v>
      </c>
      <c r="H30" s="12" t="e">
        <f>0.012*H48</f>
        <v>#VALUE!</v>
      </c>
      <c r="I30" s="59"/>
      <c r="J30" s="37" t="e">
        <f t="shared" si="0"/>
        <v>#VALUE!</v>
      </c>
      <c r="K30" s="65"/>
      <c r="L30" s="37" t="e">
        <f t="shared" si="1"/>
        <v>#VALUE!</v>
      </c>
      <c r="M30" s="37" t="e">
        <f t="shared" si="2"/>
        <v>#VALUE!</v>
      </c>
    </row>
    <row r="31" spans="1:13" x14ac:dyDescent="0.25">
      <c r="A31" s="3">
        <v>24</v>
      </c>
      <c r="B31" s="8" t="s">
        <v>57</v>
      </c>
      <c r="C31" s="9" t="s">
        <v>58</v>
      </c>
      <c r="D31" s="10" t="s">
        <v>12</v>
      </c>
      <c r="E31" s="7">
        <v>248000</v>
      </c>
      <c r="F31" s="12">
        <v>1000</v>
      </c>
      <c r="G31" s="43" t="e">
        <f>0.013*H48/248000</f>
        <v>#VALUE!</v>
      </c>
      <c r="H31" s="12" t="e">
        <f>0.013*H48</f>
        <v>#VALUE!</v>
      </c>
      <c r="I31" s="59"/>
      <c r="J31" s="37" t="e">
        <f t="shared" si="0"/>
        <v>#VALUE!</v>
      </c>
      <c r="K31" s="65"/>
      <c r="L31" s="37" t="e">
        <f t="shared" si="1"/>
        <v>#VALUE!</v>
      </c>
      <c r="M31" s="37" t="e">
        <f t="shared" si="2"/>
        <v>#VALUE!</v>
      </c>
    </row>
    <row r="32" spans="1:13" x14ac:dyDescent="0.25">
      <c r="A32" s="3">
        <v>25</v>
      </c>
      <c r="B32" s="8" t="s">
        <v>59</v>
      </c>
      <c r="C32" s="9" t="s">
        <v>60</v>
      </c>
      <c r="D32" s="10" t="s">
        <v>12</v>
      </c>
      <c r="E32" s="7">
        <v>14000</v>
      </c>
      <c r="F32" s="12">
        <v>1000</v>
      </c>
      <c r="G32" s="43" t="e">
        <f>0.0009*H48/14000</f>
        <v>#VALUE!</v>
      </c>
      <c r="H32" s="12" t="e">
        <f>0.0009*H48</f>
        <v>#VALUE!</v>
      </c>
      <c r="I32" s="59"/>
      <c r="J32" s="37" t="e">
        <f t="shared" si="0"/>
        <v>#VALUE!</v>
      </c>
      <c r="K32" s="65"/>
      <c r="L32" s="37" t="e">
        <f t="shared" si="1"/>
        <v>#VALUE!</v>
      </c>
      <c r="M32" s="37" t="e">
        <f t="shared" si="2"/>
        <v>#VALUE!</v>
      </c>
    </row>
    <row r="33" spans="1:13" x14ac:dyDescent="0.25">
      <c r="A33" s="3">
        <v>26</v>
      </c>
      <c r="B33" s="8" t="s">
        <v>61</v>
      </c>
      <c r="C33" s="9" t="s">
        <v>62</v>
      </c>
      <c r="D33" s="10" t="s">
        <v>12</v>
      </c>
      <c r="E33" s="7">
        <v>325000</v>
      </c>
      <c r="F33" s="12">
        <v>1000</v>
      </c>
      <c r="G33" s="43" t="e">
        <f>0.02604*H48/325000</f>
        <v>#VALUE!</v>
      </c>
      <c r="H33" s="12" t="e">
        <f>0.02604*H48</f>
        <v>#VALUE!</v>
      </c>
      <c r="I33" s="59"/>
      <c r="J33" s="37" t="e">
        <f t="shared" si="0"/>
        <v>#VALUE!</v>
      </c>
      <c r="K33" s="65"/>
      <c r="L33" s="37" t="e">
        <f t="shared" si="1"/>
        <v>#VALUE!</v>
      </c>
      <c r="M33" s="37" t="e">
        <f t="shared" si="2"/>
        <v>#VALUE!</v>
      </c>
    </row>
    <row r="34" spans="1:13" x14ac:dyDescent="0.25">
      <c r="A34" s="3">
        <v>27</v>
      </c>
      <c r="B34" s="8" t="s">
        <v>63</v>
      </c>
      <c r="C34" s="9" t="s">
        <v>64</v>
      </c>
      <c r="D34" s="10" t="s">
        <v>12</v>
      </c>
      <c r="E34" s="7">
        <v>54000</v>
      </c>
      <c r="F34" s="12">
        <v>1000</v>
      </c>
      <c r="G34" s="43" t="e">
        <f>0.00533*H48/54000</f>
        <v>#VALUE!</v>
      </c>
      <c r="H34" s="12" t="e">
        <f>0.00533*H48</f>
        <v>#VALUE!</v>
      </c>
      <c r="I34" s="59"/>
      <c r="J34" s="37" t="e">
        <f t="shared" si="0"/>
        <v>#VALUE!</v>
      </c>
      <c r="K34" s="65"/>
      <c r="L34" s="37" t="e">
        <f t="shared" si="1"/>
        <v>#VALUE!</v>
      </c>
      <c r="M34" s="37" t="e">
        <f t="shared" si="2"/>
        <v>#VALUE!</v>
      </c>
    </row>
    <row r="35" spans="1:13" x14ac:dyDescent="0.25">
      <c r="A35" s="3">
        <v>28</v>
      </c>
      <c r="B35" s="8" t="s">
        <v>65</v>
      </c>
      <c r="C35" s="9" t="s">
        <v>66</v>
      </c>
      <c r="D35" s="10" t="s">
        <v>12</v>
      </c>
      <c r="E35" s="7">
        <v>251000</v>
      </c>
      <c r="F35" s="12">
        <v>1000</v>
      </c>
      <c r="G35" s="43" t="e">
        <f>0.03408*H48/251000</f>
        <v>#VALUE!</v>
      </c>
      <c r="H35" s="12" t="e">
        <f>0.03408*H48</f>
        <v>#VALUE!</v>
      </c>
      <c r="I35" s="59"/>
      <c r="J35" s="37" t="e">
        <f t="shared" si="0"/>
        <v>#VALUE!</v>
      </c>
      <c r="K35" s="65"/>
      <c r="L35" s="37" t="e">
        <f t="shared" si="1"/>
        <v>#VALUE!</v>
      </c>
      <c r="M35" s="37" t="e">
        <f t="shared" si="2"/>
        <v>#VALUE!</v>
      </c>
    </row>
    <row r="36" spans="1:13" x14ac:dyDescent="0.25">
      <c r="A36" s="3">
        <v>29</v>
      </c>
      <c r="B36" s="8" t="s">
        <v>67</v>
      </c>
      <c r="C36" s="9" t="s">
        <v>68</v>
      </c>
      <c r="D36" s="10" t="s">
        <v>12</v>
      </c>
      <c r="E36" s="7">
        <v>23000</v>
      </c>
      <c r="F36" s="12">
        <v>1000</v>
      </c>
      <c r="G36" s="43" t="e">
        <f>0.004*H48/23000</f>
        <v>#VALUE!</v>
      </c>
      <c r="H36" s="12" t="e">
        <f>0.004*H48</f>
        <v>#VALUE!</v>
      </c>
      <c r="I36" s="59"/>
      <c r="J36" s="37" t="e">
        <f t="shared" si="0"/>
        <v>#VALUE!</v>
      </c>
      <c r="K36" s="65"/>
      <c r="L36" s="37" t="e">
        <f t="shared" si="1"/>
        <v>#VALUE!</v>
      </c>
      <c r="M36" s="37" t="e">
        <f t="shared" si="2"/>
        <v>#VALUE!</v>
      </c>
    </row>
    <row r="37" spans="1:13" x14ac:dyDescent="0.25">
      <c r="A37" s="3">
        <v>30</v>
      </c>
      <c r="B37" s="8" t="s">
        <v>69</v>
      </c>
      <c r="C37" s="9" t="s">
        <v>70</v>
      </c>
      <c r="D37" s="10" t="s">
        <v>12</v>
      </c>
      <c r="E37" s="7">
        <v>25000</v>
      </c>
      <c r="F37" s="12">
        <v>1000</v>
      </c>
      <c r="G37" s="43" t="e">
        <f>0.0052*H48/25000</f>
        <v>#VALUE!</v>
      </c>
      <c r="H37" s="12" t="e">
        <f>0.0052*H48</f>
        <v>#VALUE!</v>
      </c>
      <c r="I37" s="59"/>
      <c r="J37" s="37" t="e">
        <f t="shared" si="0"/>
        <v>#VALUE!</v>
      </c>
      <c r="K37" s="65"/>
      <c r="L37" s="37" t="e">
        <f t="shared" si="1"/>
        <v>#VALUE!</v>
      </c>
      <c r="M37" s="37" t="e">
        <f t="shared" si="2"/>
        <v>#VALUE!</v>
      </c>
    </row>
    <row r="38" spans="1:13" x14ac:dyDescent="0.25">
      <c r="A38" s="3">
        <v>31</v>
      </c>
      <c r="B38" s="8" t="s">
        <v>71</v>
      </c>
      <c r="C38" s="9" t="s">
        <v>72</v>
      </c>
      <c r="D38" s="10" t="s">
        <v>12</v>
      </c>
      <c r="E38" s="7">
        <v>40000</v>
      </c>
      <c r="F38" s="12">
        <v>1000</v>
      </c>
      <c r="G38" s="43" t="e">
        <f>0.01021*H48/40000</f>
        <v>#VALUE!</v>
      </c>
      <c r="H38" s="12" t="e">
        <f>0.01021*H48</f>
        <v>#VALUE!</v>
      </c>
      <c r="I38" s="59"/>
      <c r="J38" s="37" t="e">
        <f t="shared" si="0"/>
        <v>#VALUE!</v>
      </c>
      <c r="K38" s="65"/>
      <c r="L38" s="37" t="e">
        <f t="shared" si="1"/>
        <v>#VALUE!</v>
      </c>
      <c r="M38" s="37" t="e">
        <f t="shared" si="2"/>
        <v>#VALUE!</v>
      </c>
    </row>
    <row r="39" spans="1:13" x14ac:dyDescent="0.25">
      <c r="A39" s="3">
        <v>32</v>
      </c>
      <c r="B39" s="8" t="s">
        <v>73</v>
      </c>
      <c r="C39" s="9" t="s">
        <v>74</v>
      </c>
      <c r="D39" s="10" t="s">
        <v>12</v>
      </c>
      <c r="E39" s="7">
        <v>18000</v>
      </c>
      <c r="F39" s="12">
        <v>750</v>
      </c>
      <c r="G39" s="43" t="e">
        <f>0.0059*H48/18000</f>
        <v>#VALUE!</v>
      </c>
      <c r="H39" s="12" t="e">
        <f>0.0059*H48</f>
        <v>#VALUE!</v>
      </c>
      <c r="I39" s="59"/>
      <c r="J39" s="37" t="e">
        <f t="shared" si="0"/>
        <v>#VALUE!</v>
      </c>
      <c r="K39" s="65"/>
      <c r="L39" s="37" t="e">
        <f t="shared" si="1"/>
        <v>#VALUE!</v>
      </c>
      <c r="M39" s="37" t="e">
        <f t="shared" si="2"/>
        <v>#VALUE!</v>
      </c>
    </row>
    <row r="40" spans="1:13" x14ac:dyDescent="0.25">
      <c r="A40" s="3">
        <v>33</v>
      </c>
      <c r="B40" s="8" t="s">
        <v>75</v>
      </c>
      <c r="C40" s="9" t="s">
        <v>76</v>
      </c>
      <c r="D40" s="10" t="s">
        <v>12</v>
      </c>
      <c r="E40" s="7">
        <v>3000</v>
      </c>
      <c r="F40" s="12">
        <v>750</v>
      </c>
      <c r="G40" s="43" t="e">
        <f>0.0012*H48/3000</f>
        <v>#VALUE!</v>
      </c>
      <c r="H40" s="12" t="e">
        <f>0.0012*H48</f>
        <v>#VALUE!</v>
      </c>
      <c r="I40" s="59"/>
      <c r="J40" s="37" t="e">
        <f t="shared" si="0"/>
        <v>#VALUE!</v>
      </c>
      <c r="K40" s="65"/>
      <c r="L40" s="37" t="e">
        <f t="shared" si="1"/>
        <v>#VALUE!</v>
      </c>
      <c r="M40" s="37" t="e">
        <f t="shared" si="2"/>
        <v>#VALUE!</v>
      </c>
    </row>
    <row r="41" spans="1:13" x14ac:dyDescent="0.25">
      <c r="A41" s="3">
        <v>34</v>
      </c>
      <c r="B41" s="8" t="s">
        <v>77</v>
      </c>
      <c r="C41" s="9" t="s">
        <v>78</v>
      </c>
      <c r="D41" s="10" t="s">
        <v>12</v>
      </c>
      <c r="E41" s="7">
        <v>131000</v>
      </c>
      <c r="F41" s="12">
        <v>1000</v>
      </c>
      <c r="G41" s="43" t="e">
        <f>0.005*H48/131000</f>
        <v>#VALUE!</v>
      </c>
      <c r="H41" s="12" t="e">
        <f>0.005*H48</f>
        <v>#VALUE!</v>
      </c>
      <c r="I41" s="59"/>
      <c r="J41" s="37" t="e">
        <f t="shared" si="0"/>
        <v>#VALUE!</v>
      </c>
      <c r="K41" s="65"/>
      <c r="L41" s="37" t="e">
        <f t="shared" si="1"/>
        <v>#VALUE!</v>
      </c>
      <c r="M41" s="37" t="e">
        <f t="shared" si="2"/>
        <v>#VALUE!</v>
      </c>
    </row>
    <row r="42" spans="1:13" x14ac:dyDescent="0.25">
      <c r="A42" s="3">
        <v>35</v>
      </c>
      <c r="B42" s="8" t="s">
        <v>79</v>
      </c>
      <c r="C42" s="9" t="s">
        <v>80</v>
      </c>
      <c r="D42" s="10" t="s">
        <v>12</v>
      </c>
      <c r="E42" s="7">
        <v>81000</v>
      </c>
      <c r="F42" s="12">
        <v>1000</v>
      </c>
      <c r="G42" s="43" t="e">
        <f>0.0034*H48/81000</f>
        <v>#VALUE!</v>
      </c>
      <c r="H42" s="12" t="e">
        <f>0.0034*H48</f>
        <v>#VALUE!</v>
      </c>
      <c r="I42" s="60"/>
      <c r="J42" s="37" t="e">
        <f t="shared" si="0"/>
        <v>#VALUE!</v>
      </c>
      <c r="K42" s="66"/>
      <c r="L42" s="37" t="e">
        <f t="shared" si="1"/>
        <v>#VALUE!</v>
      </c>
      <c r="M42" s="37" t="e">
        <f t="shared" si="2"/>
        <v>#VALUE!</v>
      </c>
    </row>
    <row r="43" spans="1:13" ht="36" customHeight="1" x14ac:dyDescent="0.25">
      <c r="A43" s="14" t="s">
        <v>81</v>
      </c>
      <c r="B43" s="55" t="s">
        <v>82</v>
      </c>
      <c r="C43" s="56"/>
      <c r="D43" s="56"/>
      <c r="E43" s="56"/>
      <c r="F43" s="56"/>
      <c r="G43" s="56"/>
      <c r="H43" s="56"/>
      <c r="I43" s="56"/>
      <c r="J43" s="56"/>
      <c r="K43" s="56"/>
      <c r="L43" s="56"/>
      <c r="M43" s="57"/>
    </row>
    <row r="44" spans="1:13" x14ac:dyDescent="0.25">
      <c r="A44" s="3">
        <v>1</v>
      </c>
      <c r="B44" s="8" t="s">
        <v>83</v>
      </c>
      <c r="C44" s="9" t="s">
        <v>84</v>
      </c>
      <c r="D44" s="10" t="s">
        <v>12</v>
      </c>
      <c r="E44" s="11">
        <v>1336000</v>
      </c>
      <c r="F44" s="12">
        <v>1000</v>
      </c>
      <c r="G44" s="43" t="e">
        <f>0.038*H48/1336000</f>
        <v>#VALUE!</v>
      </c>
      <c r="H44" s="12" t="e">
        <f>0.038*H48</f>
        <v>#VALUE!</v>
      </c>
      <c r="I44" s="61">
        <f>I8</f>
        <v>0</v>
      </c>
      <c r="J44" s="37" t="e">
        <f t="shared" si="0"/>
        <v>#VALUE!</v>
      </c>
      <c r="K44" s="67">
        <f>K8</f>
        <v>0</v>
      </c>
      <c r="L44" s="37" t="e">
        <f t="shared" si="1"/>
        <v>#VALUE!</v>
      </c>
      <c r="M44" s="37" t="e">
        <f t="shared" si="2"/>
        <v>#VALUE!</v>
      </c>
    </row>
    <row r="45" spans="1:13" x14ac:dyDescent="0.25">
      <c r="A45" s="3">
        <v>2</v>
      </c>
      <c r="B45" s="8" t="s">
        <v>85</v>
      </c>
      <c r="C45" s="9" t="s">
        <v>86</v>
      </c>
      <c r="D45" s="10" t="s">
        <v>12</v>
      </c>
      <c r="E45" s="7">
        <v>5778000</v>
      </c>
      <c r="F45" s="12">
        <v>1000</v>
      </c>
      <c r="G45" s="43" t="e">
        <f>0.2024*H48/5778000</f>
        <v>#VALUE!</v>
      </c>
      <c r="H45" s="12" t="e">
        <f>0.2024*H48</f>
        <v>#VALUE!</v>
      </c>
      <c r="I45" s="62"/>
      <c r="J45" s="37" t="e">
        <f t="shared" si="0"/>
        <v>#VALUE!</v>
      </c>
      <c r="K45" s="68"/>
      <c r="L45" s="37" t="e">
        <f t="shared" si="1"/>
        <v>#VALUE!</v>
      </c>
      <c r="M45" s="37" t="e">
        <f t="shared" si="2"/>
        <v>#VALUE!</v>
      </c>
    </row>
    <row r="46" spans="1:13" x14ac:dyDescent="0.25">
      <c r="A46" s="3">
        <v>3</v>
      </c>
      <c r="B46" s="8" t="s">
        <v>87</v>
      </c>
      <c r="C46" s="9" t="s">
        <v>88</v>
      </c>
      <c r="D46" s="10" t="s">
        <v>12</v>
      </c>
      <c r="E46" s="7">
        <v>37000</v>
      </c>
      <c r="F46" s="12">
        <v>1000</v>
      </c>
      <c r="G46" s="43" t="e">
        <f>0.0016*H48/37000</f>
        <v>#VALUE!</v>
      </c>
      <c r="H46" s="12" t="e">
        <f>0.0016*H48</f>
        <v>#VALUE!</v>
      </c>
      <c r="I46" s="62"/>
      <c r="J46" s="37" t="e">
        <f t="shared" si="0"/>
        <v>#VALUE!</v>
      </c>
      <c r="K46" s="68"/>
      <c r="L46" s="37" t="e">
        <f t="shared" si="1"/>
        <v>#VALUE!</v>
      </c>
      <c r="M46" s="37" t="e">
        <f t="shared" si="2"/>
        <v>#VALUE!</v>
      </c>
    </row>
    <row r="47" spans="1:13" x14ac:dyDescent="0.25">
      <c r="A47" s="3">
        <v>4</v>
      </c>
      <c r="B47" s="8" t="s">
        <v>89</v>
      </c>
      <c r="C47" s="9" t="s">
        <v>90</v>
      </c>
      <c r="D47" s="10" t="s">
        <v>12</v>
      </c>
      <c r="E47" s="7">
        <v>80000</v>
      </c>
      <c r="F47" s="12">
        <v>1000</v>
      </c>
      <c r="G47" s="43" t="e">
        <f>0.004*H48/80000</f>
        <v>#VALUE!</v>
      </c>
      <c r="H47" s="12" t="e">
        <f>0.004*H48</f>
        <v>#VALUE!</v>
      </c>
      <c r="I47" s="63"/>
      <c r="J47" s="37" t="e">
        <f t="shared" si="0"/>
        <v>#VALUE!</v>
      </c>
      <c r="K47" s="69"/>
      <c r="L47" s="37" t="e">
        <f t="shared" si="1"/>
        <v>#VALUE!</v>
      </c>
      <c r="M47" s="37" t="e">
        <f t="shared" si="2"/>
        <v>#VALUE!</v>
      </c>
    </row>
    <row r="48" spans="1:13" ht="30" x14ac:dyDescent="0.25">
      <c r="A48" s="15"/>
      <c r="B48" s="32"/>
      <c r="C48" s="33"/>
      <c r="D48" s="17"/>
      <c r="E48" s="34"/>
      <c r="F48" s="20"/>
      <c r="G48" s="36" t="s">
        <v>97</v>
      </c>
      <c r="H48" s="35" t="s">
        <v>103</v>
      </c>
      <c r="I48" s="13">
        <f>I8</f>
        <v>0</v>
      </c>
      <c r="J48" s="37" t="e">
        <f>SUM(J8:J42)+SUM(J44:J47)</f>
        <v>#VALUE!</v>
      </c>
      <c r="K48" s="37"/>
      <c r="L48" s="37" t="e">
        <f>SUM(L8:L42)+SUM(L44:L47)</f>
        <v>#VALUE!</v>
      </c>
      <c r="M48" s="37" t="e">
        <f>SUM(M8:M42)+SUM(M44:M47)</f>
        <v>#VALUE!</v>
      </c>
    </row>
    <row r="49" spans="1:13" x14ac:dyDescent="0.25">
      <c r="A49" s="15"/>
      <c r="B49" s="16"/>
      <c r="C49" s="17"/>
      <c r="D49" s="18"/>
      <c r="E49" s="19"/>
      <c r="F49" s="20"/>
      <c r="G49" s="20"/>
      <c r="H49" s="20"/>
      <c r="I49" s="21"/>
      <c r="J49" s="38"/>
      <c r="K49" s="38"/>
      <c r="L49" s="38"/>
      <c r="M49" s="38"/>
    </row>
    <row r="50" spans="1:13" ht="15.75" x14ac:dyDescent="0.25">
      <c r="A50" s="22" t="s">
        <v>91</v>
      </c>
      <c r="B50" s="23"/>
      <c r="C50" s="44"/>
      <c r="D50" s="44"/>
      <c r="E50" s="44"/>
      <c r="F50" s="44"/>
      <c r="G50" s="44"/>
      <c r="H50" s="44"/>
      <c r="I50" s="44"/>
      <c r="J50" s="37"/>
      <c r="K50" s="37"/>
      <c r="L50" s="37"/>
      <c r="M50" s="37"/>
    </row>
    <row r="51" spans="1:13" s="25" customFormat="1" ht="19.5" customHeight="1" x14ac:dyDescent="0.2">
      <c r="A51" s="24">
        <v>1</v>
      </c>
      <c r="B51" s="72" t="s">
        <v>92</v>
      </c>
      <c r="C51" s="72"/>
      <c r="D51" s="72"/>
      <c r="E51" s="72"/>
      <c r="F51" s="72"/>
      <c r="G51" s="72"/>
      <c r="H51" s="72"/>
      <c r="I51" s="72"/>
      <c r="J51" s="72"/>
      <c r="K51" s="72"/>
      <c r="L51" s="72"/>
      <c r="M51" s="72"/>
    </row>
    <row r="52" spans="1:13" s="25" customFormat="1" ht="27.75" customHeight="1" x14ac:dyDescent="0.2">
      <c r="A52" s="24">
        <f>A51+1</f>
        <v>2</v>
      </c>
      <c r="B52" s="48" t="s">
        <v>106</v>
      </c>
      <c r="C52" s="49"/>
      <c r="D52" s="49"/>
      <c r="E52" s="49"/>
      <c r="F52" s="49"/>
      <c r="G52" s="49"/>
      <c r="H52" s="49"/>
      <c r="I52" s="49"/>
      <c r="J52" s="49"/>
      <c r="K52" s="49"/>
      <c r="L52" s="49"/>
      <c r="M52" s="74"/>
    </row>
    <row r="53" spans="1:13" s="26" customFormat="1" ht="19.5" customHeight="1" x14ac:dyDescent="0.25">
      <c r="A53" s="24">
        <f t="shared" ref="A53:A57" si="3">A52+1</f>
        <v>3</v>
      </c>
      <c r="B53" s="72" t="s">
        <v>93</v>
      </c>
      <c r="C53" s="72"/>
      <c r="D53" s="72"/>
      <c r="E53" s="72"/>
      <c r="F53" s="72"/>
      <c r="G53" s="72"/>
      <c r="H53" s="72"/>
      <c r="I53" s="72"/>
      <c r="J53" s="72"/>
      <c r="K53" s="72"/>
      <c r="L53" s="72"/>
      <c r="M53" s="72"/>
    </row>
    <row r="54" spans="1:13" s="26" customFormat="1" ht="30" customHeight="1" x14ac:dyDescent="0.25">
      <c r="A54" s="24">
        <f t="shared" si="3"/>
        <v>4</v>
      </c>
      <c r="B54" s="73" t="s">
        <v>104</v>
      </c>
      <c r="C54" s="73"/>
      <c r="D54" s="73"/>
      <c r="E54" s="73"/>
      <c r="F54" s="73"/>
      <c r="G54" s="73"/>
      <c r="H54" s="73"/>
      <c r="I54" s="73"/>
      <c r="J54" s="73"/>
      <c r="K54" s="73"/>
      <c r="L54" s="73"/>
      <c r="M54" s="73"/>
    </row>
    <row r="55" spans="1:13" s="26" customFormat="1" ht="29.25" customHeight="1" x14ac:dyDescent="0.25">
      <c r="A55" s="24">
        <f t="shared" si="3"/>
        <v>5</v>
      </c>
      <c r="B55" s="73" t="s">
        <v>94</v>
      </c>
      <c r="C55" s="73"/>
      <c r="D55" s="73"/>
      <c r="E55" s="73"/>
      <c r="F55" s="73"/>
      <c r="G55" s="73"/>
      <c r="H55" s="73"/>
      <c r="I55" s="73"/>
      <c r="J55" s="73"/>
      <c r="K55" s="73"/>
      <c r="L55" s="73"/>
      <c r="M55" s="73"/>
    </row>
    <row r="56" spans="1:13" s="26" customFormat="1" ht="19.5" customHeight="1" x14ac:dyDescent="0.25">
      <c r="A56" s="24">
        <f t="shared" si="3"/>
        <v>6</v>
      </c>
      <c r="B56" s="73" t="s">
        <v>95</v>
      </c>
      <c r="C56" s="73"/>
      <c r="D56" s="73"/>
      <c r="E56" s="73"/>
      <c r="F56" s="73"/>
      <c r="G56" s="73"/>
      <c r="H56" s="73"/>
      <c r="I56" s="73"/>
      <c r="J56" s="73"/>
      <c r="K56" s="73"/>
      <c r="L56" s="73"/>
      <c r="M56" s="73"/>
    </row>
    <row r="57" spans="1:13" s="26" customFormat="1" ht="19.5" customHeight="1" x14ac:dyDescent="0.25">
      <c r="A57" s="24">
        <f t="shared" si="3"/>
        <v>7</v>
      </c>
      <c r="B57" s="70" t="s">
        <v>96</v>
      </c>
      <c r="C57" s="71"/>
      <c r="D57" s="71"/>
      <c r="E57" s="71"/>
      <c r="F57" s="71"/>
      <c r="G57" s="71"/>
      <c r="H57" s="71"/>
      <c r="I57" s="71"/>
    </row>
    <row r="58" spans="1:13" ht="39.75" customHeight="1" x14ac:dyDescent="0.25">
      <c r="A58" s="22"/>
      <c r="B58" s="27"/>
      <c r="C58" s="47"/>
      <c r="D58" s="47"/>
      <c r="E58" s="47"/>
      <c r="F58" s="47"/>
      <c r="G58" s="47"/>
      <c r="H58" s="47"/>
      <c r="I58" s="47"/>
    </row>
    <row r="59" spans="1:13" ht="26.25" customHeight="1" x14ac:dyDescent="0.25">
      <c r="A59" s="22"/>
      <c r="B59" s="27"/>
      <c r="C59" s="47"/>
      <c r="D59" s="47"/>
      <c r="E59" s="47"/>
      <c r="F59" s="47"/>
      <c r="G59" s="47"/>
      <c r="H59" s="47"/>
      <c r="I59" s="47"/>
    </row>
    <row r="60" spans="1:13" x14ac:dyDescent="0.25">
      <c r="A60" s="22"/>
      <c r="B60" s="27"/>
      <c r="C60" s="47"/>
      <c r="D60" s="47"/>
      <c r="E60" s="47"/>
      <c r="F60" s="47"/>
      <c r="G60" s="47"/>
      <c r="H60" s="47"/>
      <c r="I60" s="47"/>
    </row>
    <row r="61" spans="1:13" ht="15.75" x14ac:dyDescent="0.25">
      <c r="A61" s="22"/>
      <c r="B61" s="28"/>
      <c r="C61" s="28"/>
      <c r="D61" s="28"/>
      <c r="E61" s="28"/>
      <c r="F61" s="28"/>
      <c r="G61" s="29"/>
      <c r="H61" s="29"/>
      <c r="I61" s="28"/>
    </row>
    <row r="62" spans="1:13" ht="15.75" x14ac:dyDescent="0.25">
      <c r="A62" s="22"/>
      <c r="B62" s="30"/>
      <c r="C62" s="30"/>
      <c r="D62" s="30"/>
      <c r="E62" s="30"/>
      <c r="F62" s="30"/>
      <c r="G62" s="23"/>
      <c r="H62" s="23"/>
      <c r="I62" s="30"/>
    </row>
    <row r="63" spans="1:13" ht="15.75" x14ac:dyDescent="0.25">
      <c r="A63" s="22"/>
      <c r="B63" s="23"/>
      <c r="C63" s="44"/>
      <c r="D63" s="44"/>
      <c r="E63" s="44"/>
      <c r="F63" s="44"/>
      <c r="G63" s="44"/>
      <c r="H63" s="44"/>
      <c r="I63" s="44"/>
    </row>
    <row r="64" spans="1:13" x14ac:dyDescent="0.25">
      <c r="A64" s="22"/>
      <c r="B64" s="27"/>
      <c r="C64" s="47"/>
      <c r="D64" s="47"/>
      <c r="E64" s="47"/>
      <c r="F64" s="47"/>
      <c r="G64" s="47"/>
      <c r="H64" s="47"/>
      <c r="I64" s="47"/>
    </row>
    <row r="65" spans="1:9" x14ac:dyDescent="0.25">
      <c r="A65" s="22"/>
      <c r="B65" s="27"/>
      <c r="C65" s="47"/>
      <c r="D65" s="47"/>
      <c r="E65" s="47"/>
      <c r="F65" s="47"/>
      <c r="G65" s="47"/>
      <c r="H65" s="47"/>
      <c r="I65" s="47"/>
    </row>
    <row r="66" spans="1:9" x14ac:dyDescent="0.25">
      <c r="A66" s="22"/>
      <c r="B66" s="27"/>
      <c r="C66" s="47"/>
      <c r="D66" s="47"/>
      <c r="E66" s="47"/>
      <c r="F66" s="47"/>
      <c r="G66" s="47"/>
      <c r="H66" s="47"/>
      <c r="I66" s="47"/>
    </row>
    <row r="67" spans="1:9" ht="26.25" customHeight="1" x14ac:dyDescent="0.25">
      <c r="A67" s="22"/>
      <c r="B67" s="27"/>
      <c r="C67" s="47"/>
      <c r="D67" s="47"/>
      <c r="E67" s="47"/>
      <c r="F67" s="47"/>
      <c r="G67" s="47"/>
      <c r="H67" s="47"/>
      <c r="I67" s="47"/>
    </row>
    <row r="68" spans="1:9" ht="26.25" customHeight="1" x14ac:dyDescent="0.25"/>
    <row r="69" spans="1:9" ht="26.25" customHeight="1" x14ac:dyDescent="0.25"/>
    <row r="70" spans="1:9" ht="44.25" customHeight="1" x14ac:dyDescent="0.25"/>
    <row r="71" spans="1:9" ht="26.25" customHeight="1" x14ac:dyDescent="0.25"/>
    <row r="72" spans="1:9" ht="26.25" customHeight="1" x14ac:dyDescent="0.25"/>
    <row r="73" spans="1:9" ht="26.25" customHeight="1" x14ac:dyDescent="0.25"/>
  </sheetData>
  <sheetProtection algorithmName="SHA-512" hashValue="UrXpkVMUgq+rc1KHJaf1PnKqgM37M2qBbUmXpT5v97I+7CJOWsbRubY8UJNZDrzjm3951RFsIDx7xIoWYjGA4A==" saltValue="U99PRYjvM/eqQEGzwfH9fg==" spinCount="100000" sheet="1" objects="1" scenarios="1" selectLockedCells="1"/>
  <mergeCells count="25">
    <mergeCell ref="C67:I67"/>
    <mergeCell ref="B7:M7"/>
    <mergeCell ref="B43:M43"/>
    <mergeCell ref="C58:I58"/>
    <mergeCell ref="C59:I59"/>
    <mergeCell ref="C60:I60"/>
    <mergeCell ref="C63:I63"/>
    <mergeCell ref="C64:I64"/>
    <mergeCell ref="C65:I65"/>
    <mergeCell ref="B57:I57"/>
    <mergeCell ref="I8:I42"/>
    <mergeCell ref="I44:I47"/>
    <mergeCell ref="K8:K42"/>
    <mergeCell ref="K44:K47"/>
    <mergeCell ref="B52:M52"/>
    <mergeCell ref="A1:A4"/>
    <mergeCell ref="C50:I50"/>
    <mergeCell ref="B1:M4"/>
    <mergeCell ref="A5:M5"/>
    <mergeCell ref="C66:I66"/>
    <mergeCell ref="B51:M51"/>
    <mergeCell ref="B53:M53"/>
    <mergeCell ref="B55:M55"/>
    <mergeCell ref="B54:M54"/>
    <mergeCell ref="B56:M56"/>
  </mergeCells>
  <conditionalFormatting sqref="I8:I42">
    <cfRule type="cellIs" priority="1" operator="greaterThan">
      <formula>0</formula>
    </cfRule>
    <cfRule type="cellIs" priority="2" operator="greaterThan">
      <formula>0</formula>
    </cfRule>
  </conditionalFormatting>
  <dataValidations count="3">
    <dataValidation type="list" allowBlank="1" showInputMessage="1" showErrorMessage="1" sqref="I61" xr:uid="{BE9B2977-D08E-40C0-8707-90B19D5AFAAF}">
      <formula1>"YES,NO"</formula1>
    </dataValidation>
    <dataValidation type="decimal" operator="greaterThan" allowBlank="1" showInputMessage="1" showErrorMessage="1" promptTitle="FILL NON-ZERO FREIGHT PERCENTAGE" prompt="FORMULAE APPLIED IN THE SHEET IS IN TERMS OF  % ._x000a_HENCE, FILL FREIGHT PERCENTAGE IN TERMS OF NUMBER._x000a__x000a_FOR EXAMPLE, IF YOU WISH TO FILL FREIGHT PERCENTAGE AS 2% THEN WRITE 2 NOT .02" sqref="I8:I42" xr:uid="{CB12B5E3-F2EB-4E5C-8B28-3DDB930C1721}">
      <formula1>0</formula1>
    </dataValidation>
    <dataValidation allowBlank="1" showInputMessage="1" showErrorMessage="1" promptTitle="FILL GST PERCENTAGE" prompt="_x000a_FORMULAE APPLIED IN THE SHEET IS IN TERMS OF  % ._x000a_HENCE, FILL GST PERCENTAGE IN TERMS OF NUMBER._x000a__x000a_FOR EXAMPLE, IF YOU WISH TO FILL GST PERCENTAGE AS 18% THEN WRITE 18 NOT .18." sqref="K8:K42" xr:uid="{50B06457-19FF-42C3-A849-0113C40DBC36}"/>
  </dataValidations>
  <pageMargins left="0.70866141732283472" right="0.70866141732283472" top="0.74803149606299213" bottom="0.74803149606299213" header="0.31496062992125984" footer="0.31496062992125984"/>
  <pageSetup scale="4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B50E1-7429-4ADF-8B2B-047BAC293DB5}">
  <dimension ref="A1:J18"/>
  <sheetViews>
    <sheetView workbookViewId="0">
      <selection activeCell="E6" sqref="E6"/>
    </sheetView>
  </sheetViews>
  <sheetFormatPr defaultRowHeight="15" x14ac:dyDescent="0.25"/>
  <cols>
    <col min="5" max="5" width="21.140625" customWidth="1"/>
    <col min="6" max="6" width="21.28515625" customWidth="1"/>
    <col min="7" max="7" width="25.42578125" customWidth="1"/>
    <col min="8" max="8" width="24.140625" customWidth="1"/>
    <col min="9" max="9" width="23.85546875" customWidth="1"/>
    <col min="10" max="10" width="19.28515625" customWidth="1"/>
  </cols>
  <sheetData>
    <row r="1" spans="1:10" ht="17.25" x14ac:dyDescent="0.25">
      <c r="A1" s="77" t="s">
        <v>108</v>
      </c>
      <c r="B1" s="77"/>
      <c r="C1" s="77"/>
      <c r="D1" s="77"/>
      <c r="E1" s="77"/>
      <c r="F1" s="77"/>
      <c r="G1" s="77"/>
      <c r="H1" s="77"/>
      <c r="I1" s="77"/>
      <c r="J1" s="77"/>
    </row>
    <row r="2" spans="1:10" x14ac:dyDescent="0.25">
      <c r="A2" s="78" t="s">
        <v>109</v>
      </c>
      <c r="B2" s="78"/>
      <c r="C2" s="78"/>
      <c r="D2" s="78"/>
      <c r="E2" s="78"/>
      <c r="F2" s="78"/>
      <c r="G2" s="79" t="s">
        <v>110</v>
      </c>
      <c r="H2" s="80"/>
      <c r="I2" s="80"/>
      <c r="J2" s="80"/>
    </row>
    <row r="3" spans="1:10" x14ac:dyDescent="0.25">
      <c r="A3" s="78" t="s">
        <v>111</v>
      </c>
      <c r="B3" s="78"/>
      <c r="C3" s="78"/>
      <c r="D3" s="78"/>
      <c r="E3" s="78"/>
      <c r="F3" s="78"/>
      <c r="G3" s="79" t="s">
        <v>126</v>
      </c>
      <c r="H3" s="80"/>
      <c r="I3" s="80"/>
      <c r="J3" s="80"/>
    </row>
    <row r="4" spans="1:10" x14ac:dyDescent="0.25">
      <c r="A4" s="78" t="s">
        <v>112</v>
      </c>
      <c r="B4" s="78"/>
      <c r="C4" s="78"/>
      <c r="D4" s="78"/>
      <c r="E4" s="78"/>
      <c r="F4" s="78"/>
      <c r="G4" s="79" t="s">
        <v>127</v>
      </c>
      <c r="H4" s="80"/>
      <c r="I4" s="80"/>
      <c r="J4" s="80"/>
    </row>
    <row r="5" spans="1:10" x14ac:dyDescent="0.25">
      <c r="A5" s="78" t="s">
        <v>113</v>
      </c>
      <c r="B5" s="78"/>
      <c r="C5" s="78"/>
      <c r="D5" s="78"/>
      <c r="E5" s="78"/>
      <c r="F5" s="78"/>
      <c r="G5" s="81"/>
      <c r="H5" s="81"/>
      <c r="I5" s="81"/>
      <c r="J5" s="81"/>
    </row>
    <row r="6" spans="1:10" ht="75" x14ac:dyDescent="0.25">
      <c r="A6" s="82" t="s">
        <v>114</v>
      </c>
      <c r="B6" s="82" t="s">
        <v>115</v>
      </c>
      <c r="C6" s="82" t="s">
        <v>116</v>
      </c>
      <c r="D6" s="82" t="s">
        <v>117</v>
      </c>
      <c r="E6" s="82" t="s">
        <v>118</v>
      </c>
      <c r="F6" s="83" t="s">
        <v>119</v>
      </c>
      <c r="G6" s="84" t="s">
        <v>120</v>
      </c>
      <c r="H6" s="82" t="s">
        <v>121</v>
      </c>
      <c r="I6" s="82" t="s">
        <v>122</v>
      </c>
      <c r="J6" s="82" t="s">
        <v>123</v>
      </c>
    </row>
    <row r="7" spans="1:10" x14ac:dyDescent="0.25">
      <c r="A7" s="85">
        <v>1</v>
      </c>
      <c r="B7" s="86" t="s">
        <v>124</v>
      </c>
      <c r="C7" s="87"/>
      <c r="D7" s="87"/>
      <c r="E7" s="88"/>
      <c r="F7" s="88"/>
      <c r="G7" s="89"/>
      <c r="H7" s="88"/>
      <c r="I7" s="90"/>
      <c r="J7" s="88"/>
    </row>
    <row r="8" spans="1:10" x14ac:dyDescent="0.25">
      <c r="A8" s="91">
        <v>1.01</v>
      </c>
      <c r="B8" s="92"/>
      <c r="C8" s="93"/>
      <c r="D8" s="93"/>
      <c r="E8" s="94"/>
      <c r="F8" s="95"/>
      <c r="G8" s="96"/>
      <c r="H8" s="94"/>
      <c r="I8" s="97"/>
      <c r="J8" s="98"/>
    </row>
    <row r="9" spans="1:10" x14ac:dyDescent="0.25">
      <c r="A9" s="99">
        <v>1.02</v>
      </c>
      <c r="B9" s="92"/>
      <c r="C9" s="93"/>
      <c r="D9" s="93"/>
      <c r="E9" s="94"/>
      <c r="F9" s="95"/>
      <c r="G9" s="96"/>
      <c r="H9" s="94"/>
      <c r="I9" s="97"/>
      <c r="J9" s="98"/>
    </row>
    <row r="10" spans="1:10" x14ac:dyDescent="0.25">
      <c r="A10" s="91">
        <v>1.03</v>
      </c>
      <c r="B10" s="92"/>
      <c r="C10" s="93"/>
      <c r="D10" s="93"/>
      <c r="E10" s="94"/>
      <c r="F10" s="95"/>
      <c r="G10" s="96"/>
      <c r="H10" s="94"/>
      <c r="I10" s="97"/>
      <c r="J10" s="98"/>
    </row>
    <row r="11" spans="1:10" x14ac:dyDescent="0.25">
      <c r="A11" s="99">
        <v>1.04</v>
      </c>
      <c r="B11" s="92"/>
      <c r="C11" s="93"/>
      <c r="D11" s="93"/>
      <c r="E11" s="94"/>
      <c r="F11" s="95"/>
      <c r="G11" s="96"/>
      <c r="H11" s="94"/>
      <c r="I11" s="97"/>
      <c r="J11" s="98"/>
    </row>
    <row r="12" spans="1:10" x14ac:dyDescent="0.25">
      <c r="A12" s="99">
        <v>1.05</v>
      </c>
      <c r="B12" s="92"/>
      <c r="C12" s="93"/>
      <c r="D12" s="93"/>
      <c r="E12" s="94"/>
      <c r="F12" s="95"/>
      <c r="G12" s="96"/>
      <c r="H12" s="94"/>
      <c r="I12" s="97"/>
      <c r="J12" s="98"/>
    </row>
    <row r="13" spans="1:10" x14ac:dyDescent="0.25">
      <c r="A13" s="85">
        <v>2</v>
      </c>
      <c r="B13" s="86" t="s">
        <v>125</v>
      </c>
      <c r="C13" s="87"/>
      <c r="D13" s="87"/>
      <c r="E13" s="88"/>
      <c r="F13" s="88"/>
      <c r="G13" s="89"/>
      <c r="H13" s="88"/>
      <c r="I13" s="88"/>
      <c r="J13" s="88"/>
    </row>
    <row r="14" spans="1:10" x14ac:dyDescent="0.25">
      <c r="A14" s="99">
        <v>2.0099999999999998</v>
      </c>
      <c r="B14" s="92"/>
      <c r="C14" s="93"/>
      <c r="D14" s="93"/>
      <c r="E14" s="94"/>
      <c r="F14" s="95"/>
      <c r="G14" s="96"/>
      <c r="H14" s="94"/>
      <c r="I14" s="97"/>
      <c r="J14" s="98"/>
    </row>
    <row r="15" spans="1:10" x14ac:dyDescent="0.25">
      <c r="A15" s="91">
        <v>2.02</v>
      </c>
      <c r="B15" s="92"/>
      <c r="C15" s="93"/>
      <c r="D15" s="93"/>
      <c r="E15" s="94"/>
      <c r="F15" s="95"/>
      <c r="G15" s="96"/>
      <c r="H15" s="94"/>
      <c r="I15" s="97"/>
      <c r="J15" s="98"/>
    </row>
    <row r="16" spans="1:10" x14ac:dyDescent="0.25">
      <c r="A16" s="99">
        <v>2.0299999999999998</v>
      </c>
      <c r="B16" s="92"/>
      <c r="C16" s="93"/>
      <c r="D16" s="93"/>
      <c r="E16" s="94"/>
      <c r="F16" s="95"/>
      <c r="G16" s="96"/>
      <c r="H16" s="94"/>
      <c r="I16" s="97"/>
      <c r="J16" s="98"/>
    </row>
    <row r="17" spans="1:10" x14ac:dyDescent="0.25">
      <c r="A17" s="91">
        <v>2.04</v>
      </c>
      <c r="B17" s="92"/>
      <c r="C17" s="93"/>
      <c r="D17" s="93"/>
      <c r="E17" s="94"/>
      <c r="F17" s="95"/>
      <c r="G17" s="96"/>
      <c r="H17" s="94"/>
      <c r="I17" s="97"/>
      <c r="J17" s="98"/>
    </row>
    <row r="18" spans="1:10" x14ac:dyDescent="0.25">
      <c r="A18" s="99">
        <v>2.0499999999999998</v>
      </c>
      <c r="B18" s="92"/>
      <c r="C18" s="93"/>
      <c r="D18" s="93"/>
      <c r="E18" s="94"/>
      <c r="F18" s="95"/>
      <c r="G18" s="96"/>
      <c r="H18" s="94"/>
      <c r="I18" s="97"/>
      <c r="J18" s="98"/>
    </row>
  </sheetData>
  <mergeCells count="9">
    <mergeCell ref="A5:F5"/>
    <mergeCell ref="G5:J5"/>
    <mergeCell ref="A1:J1"/>
    <mergeCell ref="A2:F2"/>
    <mergeCell ref="G2:J2"/>
    <mergeCell ref="A3:F3"/>
    <mergeCell ref="G3:J3"/>
    <mergeCell ref="A4:F4"/>
    <mergeCell ref="G4:J4"/>
  </mergeCells>
  <conditionalFormatting sqref="B12">
    <cfRule type="cellIs" dxfId="3" priority="4" stopIfTrue="1" operator="equal">
      <formula>"Technical Deviation"</formula>
    </cfRule>
  </conditionalFormatting>
  <conditionalFormatting sqref="B14:B17">
    <cfRule type="cellIs" dxfId="2" priority="3" stopIfTrue="1" operator="equal">
      <formula>"Commercial Deviation"</formula>
    </cfRule>
  </conditionalFormatting>
  <conditionalFormatting sqref="B8:B11">
    <cfRule type="cellIs" dxfId="1" priority="2" stopIfTrue="1" operator="equal">
      <formula>"Technical Deviation"</formula>
    </cfRule>
  </conditionalFormatting>
  <conditionalFormatting sqref="B18">
    <cfRule type="cellIs" dxfId="0" priority="1" stopIfTrue="1" operator="equal">
      <formula>"Commercial Deviation"</formula>
    </cfRule>
  </conditionalFormatting>
  <dataValidations count="4">
    <dataValidation type="decimal" allowBlank="1" showInputMessage="1" showErrorMessage="1" errorTitle="Invaid Entry" error="Only Numeric Values are allowed. " promptTitle="Total Ex-works price + freight" sqref="C7:D18" xr:uid="{54175722-618C-45F4-B140-D3D7FC6AD705}">
      <formula1>0</formula1>
      <formula2>999999999999999</formula2>
    </dataValidation>
    <dataValidation allowBlank="1" showInputMessage="1" sqref="B8:B12" xr:uid="{4C50D646-0185-4BD5-BE9D-28369F841C8E}"/>
    <dataValidation type="decimal" allowBlank="1" showInputMessage="1" showErrorMessage="1" errorTitle="Invaid Entry" error="Only Numeric Values are allowed. " promptTitle="Cost of withdrawal price " prompt="Please enter Cost of withdrawal price in Rupees. " sqref="G8:G12" xr:uid="{C2BF419B-C8ED-4364-B595-060DD782ED95}">
      <formula1>0</formula1>
      <formula2>999999999999999</formula2>
    </dataValidation>
    <dataValidation type="list" allowBlank="1" showInputMessage="1" showErrorMessage="1" sqref="I8:I12" xr:uid="{75769BCC-88C1-4481-9B4B-C297E72FBB6E}">
      <formula1>"Positive, Negative, No Deviation, Not Applicable"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Price Format</vt:lpstr>
      <vt:lpstr>COW</vt:lpstr>
      <vt:lpstr>'Price Format'!Print_Area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Ashim Kumar Das</dc:creator>
  <cp:lastModifiedBy>Suman Saurabh Kumar </cp:lastModifiedBy>
  <cp:lastPrinted>2025-02-28T11:48:42Z</cp:lastPrinted>
  <dcterms:created xsi:type="dcterms:W3CDTF">2025-02-21T09:12:57Z</dcterms:created>
  <dcterms:modified xsi:type="dcterms:W3CDTF">2025-02-28T12:01:48Z</dcterms:modified>
</cp:coreProperties>
</file>